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810" windowWidth="12120" windowHeight="3975" tabRatio="702" firstSheet="19" activeTab="24"/>
  </bookViews>
  <sheets>
    <sheet name="00" sheetId="1" state="veryHidden" r:id="rId1"/>
    <sheet name="BS-ISS" sheetId="2" r:id="rId2"/>
    <sheet name="BS-BAN" sheetId="3" r:id="rId3"/>
    <sheet name="P AND L " sheetId="4" r:id="rId4"/>
    <sheet name="Cashflow" sheetId="5" r:id="rId5"/>
    <sheet name="equity" sheetId="6" r:id="rId6"/>
    <sheet name="NOTE 5 - 6.5" sheetId="7" r:id="rId7"/>
    <sheet name="NOTE 7 - 12.1" sheetId="8" r:id="rId8"/>
    <sheet name="Note 12.2 - 12.5" sheetId="9" r:id="rId9"/>
    <sheet name="NOTE 13 - 17" sheetId="10" r:id="rId10"/>
    <sheet name="NOTE 17.1 - 17.4" sheetId="11" r:id="rId11"/>
    <sheet name="NOTE 18 - 19.1" sheetId="12" r:id="rId12"/>
    <sheet name="NOTE 17.3 - 20" sheetId="13" r:id="rId13"/>
    <sheet name="Note 21 - 25.1" sheetId="14" r:id="rId14"/>
    <sheet name="NOTE 25.2 - 27" sheetId="15" r:id="rId15"/>
    <sheet name="NOTE 27.1 - 32" sheetId="16" r:id="rId16"/>
    <sheet name="NOTE 33 - 34" sheetId="17" r:id="rId17"/>
    <sheet name="NOTE 35 - 40" sheetId="18" r:id="rId18"/>
    <sheet name="NOTE 41 - 42.1" sheetId="19" r:id="rId19"/>
    <sheet name="NOTE 42.2 - 42.4" sheetId="20" r:id="rId20"/>
    <sheet name="NOTE 42.5 - 42.5.3" sheetId="21" r:id="rId21"/>
    <sheet name="NOTE 42.5.4 - 44" sheetId="22" r:id="rId22"/>
    <sheet name="NOTE 45 - 46" sheetId="23" r:id="rId23"/>
    <sheet name="NOTE 47" sheetId="24" r:id="rId24"/>
    <sheet name="NOTE 47.1 - 52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xlnm.Print_Area" localSheetId="2">'BS-BAN'!$A$1:$K$60</definedName>
    <definedName name="_xlnm.Print_Area" localSheetId="1">'BS-ISS'!$A$1:$J$40</definedName>
    <definedName name="_xlnm.Print_Area" localSheetId="4">'Cashflow'!$A$1:$Q$53</definedName>
    <definedName name="_xlnm.Print_Area" localSheetId="8">'Note 12.2 - 12.5'!$A$1:$O$53</definedName>
    <definedName name="_xlnm.Print_Area" localSheetId="9">'NOTE 13 - 17'!$A$1:$K$51</definedName>
    <definedName name="_xlnm.Print_Area" localSheetId="10">'NOTE 17.1 - 17.4'!$A$1:$N$51</definedName>
    <definedName name="_xlnm.Print_Area" localSheetId="12">'NOTE 17.3 - 20'!$A$1:$N$38</definedName>
    <definedName name="_xlnm.Print_Area" localSheetId="11">'NOTE 18 - 19.1'!$A$1:$S$93</definedName>
    <definedName name="_xlnm.Print_Area" localSheetId="13">'Note 21 - 25.1'!$A$1:$J$135</definedName>
    <definedName name="_xlnm.Print_Area" localSheetId="14">'NOTE 25.2 - 27'!$A$1:$G$51</definedName>
    <definedName name="_xlnm.Print_Area" localSheetId="15">'NOTE 27.1 - 32'!$A$1:$N$97</definedName>
    <definedName name="_xlnm.Print_Area" localSheetId="16">'NOTE 33 - 34'!$A$1:$O$50</definedName>
    <definedName name="_xlnm.Print_Area" localSheetId="17">'NOTE 35 - 40'!$A$1:$L$51</definedName>
    <definedName name="_xlnm.Print_Area" localSheetId="18">'NOTE 41 - 42.1'!$A$1:$H$52</definedName>
    <definedName name="_xlnm.Print_Area" localSheetId="19">'NOTE 42.2 - 42.4'!$A$1:$J$49</definedName>
    <definedName name="_xlnm.Print_Area" localSheetId="20">'NOTE 42.5 - 42.5.3'!$A$1:$M$49</definedName>
    <definedName name="_xlnm.Print_Area" localSheetId="21">'NOTE 42.5.4 - 44'!$A$1:$K$42</definedName>
    <definedName name="_xlnm.Print_Area" localSheetId="22">'NOTE 45 - 46'!$A$1:$F$25</definedName>
    <definedName name="_xlnm.Print_Area" localSheetId="23">'NOTE 47'!$A$1:$P$81</definedName>
    <definedName name="_xlnm.Print_Area" localSheetId="24">'NOTE 47.1 - 52'!$A$1:$I$141</definedName>
    <definedName name="_xlnm.Print_Area" localSheetId="6">'NOTE 5 - 6.5'!$A$1:$N$41</definedName>
    <definedName name="_xlnm.Print_Area" localSheetId="7">'NOTE 7 - 12.1'!$A$1:$P$99</definedName>
    <definedName name="_xlnm.Print_Area" localSheetId="3">'P AND L '!$B$1:$L$44</definedName>
  </definedNames>
  <calcPr fullCalcOnLoad="1"/>
</workbook>
</file>

<file path=xl/comments15.xml><?xml version="1.0" encoding="utf-8"?>
<comments xmlns="http://schemas.openxmlformats.org/spreadsheetml/2006/main">
  <authors>
    <author>Zahid Saeed Sabir Taji</author>
  </authors>
  <commentList>
    <comment ref="G49" authorId="0">
      <text>
        <r>
          <rPr>
            <b/>
            <sz val="8"/>
            <rFont val="Tahoma"/>
            <family val="0"/>
          </rPr>
          <t xml:space="preserve">NIBAF balance 10,544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KPMG</author>
  </authors>
  <commentList>
    <comment ref="F15" authorId="0">
      <text>
        <r>
          <rPr>
            <b/>
            <sz val="8"/>
            <rFont val="Tahoma"/>
            <family val="0"/>
          </rPr>
          <t>KPMG:</t>
        </r>
        <r>
          <rPr>
            <sz val="8"/>
            <rFont val="Tahoma"/>
            <family val="0"/>
          </rPr>
          <t xml:space="preserve">
palai</t>
        </r>
      </text>
    </comment>
  </commentList>
</comments>
</file>

<file path=xl/comments3.xml><?xml version="1.0" encoding="utf-8"?>
<comments xmlns="http://schemas.openxmlformats.org/spreadsheetml/2006/main">
  <authors>
    <author>KPMG</author>
  </authors>
  <commentList>
    <comment ref="I18" authorId="0">
      <text>
        <r>
          <rPr>
            <b/>
            <sz val="8"/>
            <rFont val="Tahoma"/>
            <family val="0"/>
          </rPr>
          <t>KPMG:</t>
        </r>
        <r>
          <rPr>
            <sz val="8"/>
            <rFont val="Tahoma"/>
            <family val="0"/>
          </rPr>
          <t xml:space="preserve">
palai</t>
        </r>
      </text>
    </comment>
  </commentList>
</comments>
</file>

<file path=xl/sharedStrings.xml><?xml version="1.0" encoding="utf-8"?>
<sst xmlns="http://schemas.openxmlformats.org/spreadsheetml/2006/main" count="1353" uniqueCount="990">
  <si>
    <t xml:space="preserve">Unrealised appreciation on revaluation of gold reserves </t>
  </si>
  <si>
    <t xml:space="preserve"> during the year</t>
  </si>
  <si>
    <t xml:space="preserve">Surplus arose on revaluation of property, plant </t>
  </si>
  <si>
    <t xml:space="preserve"> and equipment </t>
  </si>
  <si>
    <t>Special Drawing Rights (SDRs) are the foreign reserve assets which are allocated  by the</t>
  </si>
  <si>
    <t>International Monetary Fund (IMF) to its member countries in proportion to their quota in the IMF. In</t>
  </si>
  <si>
    <t>addition, the member countries can purchase the SDRs from the IMF and other member countries in</t>
  </si>
  <si>
    <t>order to settle their obligations. The figures given below represent the rupee value of the SDRs held</t>
  </si>
  <si>
    <t>by the Bank at June 30, 2006. Interest is credited by the IMF on the SDR holding of the Bank at</t>
  </si>
  <si>
    <t>weekly interest rates on daily products of SDRs held during each quarter.</t>
  </si>
  <si>
    <t>This represents repurchase agreements lendings and carried markup (2005: 5.65 to 7.98) percent per</t>
  </si>
  <si>
    <t>Cost / revalued amount at
July 01</t>
  </si>
  <si>
    <t>Accumulated depreciation at July 01</t>
  </si>
  <si>
    <t>Electricity, gas and water</t>
  </si>
  <si>
    <t>Legal and professional</t>
  </si>
  <si>
    <t>Conveyance</t>
  </si>
  <si>
    <t>compliance, corporate actions and recovery, and other value added services which are typically</t>
  </si>
  <si>
    <t>provided by such custodians. The valuations provided by the custodians are reconciled with the</t>
  </si>
  <si>
    <t xml:space="preserve">portfolio managers, and recorded accordingly. </t>
  </si>
  <si>
    <t>Dividend income</t>
  </si>
  <si>
    <t xml:space="preserve">Amounts due from financial institutions under </t>
  </si>
  <si>
    <t>Market Treasury Bills - net</t>
  </si>
  <si>
    <t>Loans and advances to Government</t>
  </si>
  <si>
    <t>Listed</t>
  </si>
  <si>
    <t xml:space="preserve"> - Balochistan</t>
  </si>
  <si>
    <t>Net assets</t>
  </si>
  <si>
    <t>Foreign currency reserves not included in cash and cash equivalents</t>
  </si>
  <si>
    <t xml:space="preserve">- Indian notes representing assets receivable </t>
  </si>
  <si>
    <t xml:space="preserve">    from the Reserve Bank of India</t>
  </si>
  <si>
    <t>Allied Bank Limited</t>
  </si>
  <si>
    <t xml:space="preserve">Reversal of liability pertaining to demonitization of </t>
  </si>
  <si>
    <t xml:space="preserve">The above represents the net profit of subsidiaries for the year ended June 30, 2006 transferred to </t>
  </si>
  <si>
    <t>Payment of retirement benefits and employees' compensated absences</t>
  </si>
  <si>
    <t>2005</t>
  </si>
  <si>
    <t xml:space="preserve">Grand </t>
  </si>
  <si>
    <t xml:space="preserve">Maturity </t>
  </si>
  <si>
    <t xml:space="preserve">upto one </t>
  </si>
  <si>
    <t>year</t>
  </si>
  <si>
    <t xml:space="preserve">after </t>
  </si>
  <si>
    <t>one year</t>
  </si>
  <si>
    <t xml:space="preserve">Special Drawing Rights of International </t>
  </si>
  <si>
    <t xml:space="preserve">Reserve tranche with the International Monetary </t>
  </si>
  <si>
    <t>Agriculture</t>
  </si>
  <si>
    <t>loan</t>
  </si>
  <si>
    <t>INTANGIBLE ASSETS</t>
  </si>
  <si>
    <t>Other operating income-net</t>
  </si>
  <si>
    <t xml:space="preserve">  realised on disposal</t>
  </si>
  <si>
    <t>Loans and receivables originated by the Bank -</t>
  </si>
  <si>
    <t>Federal Government scrip</t>
  </si>
  <si>
    <t>*</t>
  </si>
  <si>
    <t xml:space="preserve">Surplus realised on disposal </t>
  </si>
  <si>
    <t>Interest payable</t>
  </si>
  <si>
    <t>OTHER OPERATING INCOME- net</t>
  </si>
  <si>
    <t xml:space="preserve">Interest/ mark-up bearing </t>
  </si>
  <si>
    <t>* Bank notes have been assumed to have a maturity of more than one year other than those demonetised.</t>
  </si>
  <si>
    <t>Gain on disposal of property, plant and equipment</t>
  </si>
  <si>
    <t>Indian notes representing assets receivable from the Reserve Bank of India</t>
  </si>
  <si>
    <t xml:space="preserve">Overdue mark-up and return </t>
  </si>
  <si>
    <t>Accrued interest / mark-up and return</t>
  </si>
  <si>
    <t>Pakistan Baitul Mal fund account</t>
  </si>
  <si>
    <t>Recreation allowance</t>
  </si>
  <si>
    <t xml:space="preserve">  MONETARY FUND</t>
  </si>
  <si>
    <t>Forward exchange contracts - purchases</t>
  </si>
  <si>
    <t>Benevolent</t>
  </si>
  <si>
    <t>41.</t>
  </si>
  <si>
    <t>42.</t>
  </si>
  <si>
    <t xml:space="preserve">Federal Government </t>
  </si>
  <si>
    <t>Securities purchased under agreement to resale</t>
  </si>
  <si>
    <t xml:space="preserve">Discount, interest / mark-up and / or return earned </t>
  </si>
  <si>
    <t>SECURITIES PURCHASED UNDER AGREEMENT TO RESALE</t>
  </si>
  <si>
    <t xml:space="preserve">  than or equal to 50%</t>
  </si>
  <si>
    <t xml:space="preserve">DISCOUNT, INTEREST / MARK-UP AND / </t>
  </si>
  <si>
    <t xml:space="preserve">  OR RETURN EARNED</t>
  </si>
  <si>
    <t xml:space="preserve">- Foreign currency placements, deposits, securities and </t>
  </si>
  <si>
    <t xml:space="preserve">    other accounts - net </t>
  </si>
  <si>
    <t>statements, is being amortised over the useful lives of the related assets.</t>
  </si>
  <si>
    <t>held by the Central Bank of India (held by Deputy Custodian Enemy Property, Banking Supervision</t>
  </si>
  <si>
    <t xml:space="preserve">Department, State Bank of Pakistan) and 500 shares held by the State of Hyderabad. </t>
  </si>
  <si>
    <t>17.3</t>
  </si>
  <si>
    <t xml:space="preserve">Information about the Bank's exposure to interest / mark-up rate risk based on contractual repricing and maturity dates, which ever is earlier is as follows: </t>
  </si>
  <si>
    <t>Profit on sale of securities</t>
  </si>
  <si>
    <t xml:space="preserve">Government of Azad Jammu and Kashmir </t>
  </si>
  <si>
    <t>Stationery and stamps on hand</t>
  </si>
  <si>
    <t>Other advances, deposits and prepayments</t>
  </si>
  <si>
    <t>India</t>
  </si>
  <si>
    <t>Import letters of credit</t>
  </si>
  <si>
    <t xml:space="preserve">   Authorised share capital</t>
  </si>
  <si>
    <t xml:space="preserve">   Issued, subscribed and paid-up capital</t>
  </si>
  <si>
    <t>Profit for the year</t>
  </si>
  <si>
    <t>Adjustments for:</t>
  </si>
  <si>
    <t xml:space="preserve">Exchange gain recoverable under exchange </t>
  </si>
  <si>
    <t>Contingent liability in respect of guarantees given on behalf of:</t>
  </si>
  <si>
    <t>Earmarked foreign currency balances</t>
  </si>
  <si>
    <t>Governor</t>
  </si>
  <si>
    <t>___________________</t>
  </si>
  <si>
    <t>Repurchase and outright sale of securities</t>
  </si>
  <si>
    <t>Total assets</t>
  </si>
  <si>
    <t>Certificates of Deposits</t>
  </si>
  <si>
    <t>Quota allocated by the International Monetary Fund</t>
  </si>
  <si>
    <t xml:space="preserve">Furniture and fixtures </t>
  </si>
  <si>
    <t>Freehold land</t>
  </si>
  <si>
    <t>Leasehold land</t>
  </si>
  <si>
    <t>Office equipment</t>
  </si>
  <si>
    <t>Motor vehicles</t>
  </si>
  <si>
    <t xml:space="preserve">Auditors' remuneration </t>
  </si>
  <si>
    <t>Audit fee</t>
  </si>
  <si>
    <t>Out of pocket expenses</t>
  </si>
  <si>
    <t>Other income</t>
  </si>
  <si>
    <t>Exchange risk fee income</t>
  </si>
  <si>
    <t>Gain / (loss) on:</t>
  </si>
  <si>
    <t>Note printing charges</t>
  </si>
  <si>
    <t>Insurance</t>
  </si>
  <si>
    <t>30.</t>
  </si>
  <si>
    <t>31.</t>
  </si>
  <si>
    <t>32.</t>
  </si>
  <si>
    <t>33.</t>
  </si>
  <si>
    <t>34.</t>
  </si>
  <si>
    <t>35.</t>
  </si>
  <si>
    <t>Market Treasury Bills (MTBs)</t>
  </si>
  <si>
    <t xml:space="preserve">Investment - MTBs held as assets of the </t>
  </si>
  <si>
    <t>1.98 to 2.59</t>
  </si>
  <si>
    <t>The following is a movement in the net recognised liability in respect of the defined benefit schemes</t>
  </si>
  <si>
    <t xml:space="preserve">    the Reserve Bank of India</t>
  </si>
  <si>
    <t>Current account with National Institute of</t>
  </si>
  <si>
    <t xml:space="preserve">  Banking and Finance (Guarantee) Limited </t>
  </si>
  <si>
    <t>Deferred income</t>
  </si>
  <si>
    <t>36.</t>
  </si>
  <si>
    <t>37.</t>
  </si>
  <si>
    <t>Penalties levied on banks and financial institutions</t>
  </si>
  <si>
    <t>38.</t>
  </si>
  <si>
    <t xml:space="preserve"> - Punjab</t>
  </si>
  <si>
    <t xml:space="preserve"> - Sindh</t>
  </si>
  <si>
    <t>39.</t>
  </si>
  <si>
    <t>Financial assets</t>
  </si>
  <si>
    <t>Financial liabilities</t>
  </si>
  <si>
    <t>40.</t>
  </si>
  <si>
    <t>Gratuity</t>
  </si>
  <si>
    <t>Pension</t>
  </si>
  <si>
    <t>Post retirement medical benefits</t>
  </si>
  <si>
    <t xml:space="preserve">Balances due from the Governments of India and </t>
  </si>
  <si>
    <t>Deposits of banks and financial institutions</t>
  </si>
  <si>
    <t>Payable to the International Monetary Fund</t>
  </si>
  <si>
    <t>Portfolio risk management</t>
  </si>
  <si>
    <t>Unrealised appreciation on gold reserves</t>
  </si>
  <si>
    <t>Current account of the Government of Balochistan</t>
  </si>
  <si>
    <t xml:space="preserve">By the Issue Department </t>
  </si>
  <si>
    <t xml:space="preserve">By the Banking Department </t>
  </si>
  <si>
    <t>-------------------------------------------------------Reserves--------------------------------------------------</t>
  </si>
  <si>
    <t>_______________</t>
  </si>
  <si>
    <t xml:space="preserve">GOLD RESERVES HELD BY THE BANK </t>
  </si>
  <si>
    <t>FOREIGN CURRENCY RESERVES</t>
  </si>
  <si>
    <t>Property, plant and equipment</t>
  </si>
  <si>
    <t xml:space="preserve">INDIAN NOTES REPRESENTING ASSETS RECEIVABLE </t>
  </si>
  <si>
    <t>LOCAL CURRENCY</t>
  </si>
  <si>
    <t>INVESTMENTS</t>
  </si>
  <si>
    <t>COMMERCIAL PAPERS</t>
  </si>
  <si>
    <t>BANK NOTES ISSUED</t>
  </si>
  <si>
    <t>ALLOCATION OF SPECIAL DRAWING RIGHTS OF IMF</t>
  </si>
  <si>
    <t>32.1</t>
  </si>
  <si>
    <t>32.2</t>
  </si>
  <si>
    <t>34.1</t>
  </si>
  <si>
    <t>34.2</t>
  </si>
  <si>
    <t>43.2</t>
  </si>
  <si>
    <t>43.3</t>
  </si>
  <si>
    <t>43.4</t>
  </si>
  <si>
    <t>43.5</t>
  </si>
  <si>
    <t>43.5.1</t>
  </si>
  <si>
    <t>43.5.2</t>
  </si>
  <si>
    <t>43.5.3</t>
  </si>
  <si>
    <t>(note 43.5.4)</t>
  </si>
  <si>
    <t>43.5.4</t>
  </si>
  <si>
    <t>43.6</t>
  </si>
  <si>
    <t>44.1</t>
  </si>
  <si>
    <t>48.1</t>
  </si>
  <si>
    <t>48.1.1</t>
  </si>
  <si>
    <t>48.1.2</t>
  </si>
  <si>
    <t>48.1.3</t>
  </si>
  <si>
    <t>48.1.4</t>
  </si>
  <si>
    <t>48.2</t>
  </si>
  <si>
    <t xml:space="preserve">of estimation are disclosed in note 43.5.1 to the financial statements. </t>
  </si>
  <si>
    <t>53.</t>
  </si>
  <si>
    <t>The annexed notes 1 to 53 form an integral part of these financial statements.</t>
  </si>
  <si>
    <t xml:space="preserve">3,421.587 million as mentioned in note 44.1 to the financial statements. </t>
  </si>
  <si>
    <t>LOANS, ADVANCES AND BILLS OF EXCHANGE</t>
  </si>
  <si>
    <t>OTHER ASSETS</t>
  </si>
  <si>
    <t>Non-food account</t>
  </si>
  <si>
    <t>Zakat fund account</t>
  </si>
  <si>
    <t>Railways - ways and means advances</t>
  </si>
  <si>
    <t xml:space="preserve">DEPOSITS OF BANKS AND FINANCIAL </t>
  </si>
  <si>
    <t>Foreign central banks</t>
  </si>
  <si>
    <t>Special debt repayment</t>
  </si>
  <si>
    <t>OTHER DEPOSITS AND ACCOUNTS</t>
  </si>
  <si>
    <t>OTHER LIABILITIES</t>
  </si>
  <si>
    <t>SHARE CAPITAL</t>
  </si>
  <si>
    <t>RESERVES</t>
  </si>
  <si>
    <t>CONTINGENCIES AND COMMITMENTS</t>
  </si>
  <si>
    <t>INTEREST / MARK-UP EXPENSE</t>
  </si>
  <si>
    <t xml:space="preserve">COMMISSION INCOME </t>
  </si>
  <si>
    <t>NOTE PRINTING CHARGES</t>
  </si>
  <si>
    <t>AGENCY COMMISSION</t>
  </si>
  <si>
    <t>Payable to International Monetary Fund</t>
  </si>
  <si>
    <t>Cash and cash equivalents at beginning of the year</t>
  </si>
  <si>
    <t>Cash and cash equivalents at end of the year</t>
  </si>
  <si>
    <t>8.90 (2005: 4.1584 to 7.4790) percent per annum.</t>
  </si>
  <si>
    <t>Traveling expenses</t>
  </si>
  <si>
    <t>The above foreign currency reserves are held as follows:</t>
  </si>
  <si>
    <t xml:space="preserve">  financial institutions </t>
  </si>
  <si>
    <t>10.1</t>
  </si>
  <si>
    <t>Profit earned through subsidiaries</t>
  </si>
  <si>
    <t>PROFIT FOR THE YEAR</t>
  </si>
  <si>
    <t>17.1</t>
  </si>
  <si>
    <t>25.1</t>
  </si>
  <si>
    <t>Cost  at
July 01</t>
  </si>
  <si>
    <t>Accumulated  amortisation at July 01</t>
  </si>
  <si>
    <t xml:space="preserve">July 01 </t>
  </si>
  <si>
    <t xml:space="preserve">at June 30 </t>
  </si>
  <si>
    <t xml:space="preserve">BALANCES DUE FROM THE GOVERNMENTS OF </t>
  </si>
  <si>
    <t xml:space="preserve">  INDIA AND BANGLADESH (FORMER EAST PAKISTAN)</t>
  </si>
  <si>
    <t>- held by the Bank</t>
  </si>
  <si>
    <t>- held with the Reserve Bank of India</t>
  </si>
  <si>
    <t>- Special Drawing Rights of IMF</t>
  </si>
  <si>
    <t xml:space="preserve">agreed rates under specific arrangements. </t>
  </si>
  <si>
    <t>Local currency (including rupee coins)</t>
  </si>
  <si>
    <t>Provision for:</t>
  </si>
  <si>
    <t>- retirement benefits and employees' compensated absences</t>
  </si>
  <si>
    <t>Other accruals and provisions - net</t>
  </si>
  <si>
    <t>Agency commission is payable to National Bank of Pakistan (NBP) under an agreement at the rate</t>
  </si>
  <si>
    <t>Balance at June 30, 2005</t>
  </si>
  <si>
    <t>The carrying value of all the financial instruments reflected in the financial statements</t>
  </si>
  <si>
    <t>52.</t>
  </si>
  <si>
    <t>CORRESPONDING FIGURES</t>
  </si>
  <si>
    <t>Previous year figures have been reclassified as a result of the following changes:</t>
  </si>
  <si>
    <t>Reclassification from</t>
  </si>
  <si>
    <t>Reclassification to</t>
  </si>
  <si>
    <t>Better presentation</t>
  </si>
  <si>
    <t>OTHER INCOME</t>
  </si>
  <si>
    <t>OTHER CHARGES</t>
  </si>
  <si>
    <t xml:space="preserve">CASH AND CASH EQUIVALENTS  </t>
  </si>
  <si>
    <t>GENERAL</t>
  </si>
  <si>
    <t>DATE OF AUTHORISATION</t>
  </si>
  <si>
    <t>Grants received during the year</t>
  </si>
  <si>
    <t>Training</t>
  </si>
  <si>
    <t>Rent and taxes</t>
  </si>
  <si>
    <t>Expenses allocated by:</t>
  </si>
  <si>
    <t>Expenses reimbursed to:</t>
  </si>
  <si>
    <t>Shamshad Akhtar</t>
  </si>
  <si>
    <t>Transfer at revaluation</t>
  </si>
  <si>
    <t>Revaluation during the year</t>
  </si>
  <si>
    <t>Examination/ testing services</t>
  </si>
  <si>
    <t>Remittance of treasure</t>
  </si>
  <si>
    <t>Books and newspapers</t>
  </si>
  <si>
    <t>Uniforms</t>
  </si>
  <si>
    <t xml:space="preserve">Earmarked foreign currency balances </t>
  </si>
  <si>
    <t>Securities purchased under an agreement to resale</t>
  </si>
  <si>
    <t>Above assets included Rs. 173.773 (2005: Rs. 183.167)  million  recoverable from the Government of</t>
  </si>
  <si>
    <t>India. Realisability of these assets is subject to final settlement between the Governments of Pakistan and</t>
  </si>
  <si>
    <t xml:space="preserve">India. </t>
  </si>
  <si>
    <t>Software  2006</t>
  </si>
  <si>
    <t>Certain items of freehold land, leasehold land, buildings on freehold and leasehold land were revalued on</t>
  </si>
  <si>
    <t>June 30, 2001 by Iqbal A Nanjee and Co., Valuation and Engineering Consultants on the basis of market</t>
  </si>
  <si>
    <t>value. The revaluation resulted in a surplus of Rs 6,953.519 million at that date. During the year, freehold</t>
  </si>
  <si>
    <t>land, leasehold land, buildings on freehold and leasehold land were revalued on June 30, 2006 by Iqbal A.</t>
  </si>
  <si>
    <t>Nanjee &amp; Co., Valuation and Engineering Consultants, on the basis of market value. The revaluation</t>
  </si>
  <si>
    <t>resulted in a surplus of 12,552.511 million.</t>
  </si>
  <si>
    <t>carried out under the projected unit credit method amounted to Rs. 401.483 million (2005: Rs. 368</t>
  </si>
  <si>
    <t>million). An amount of Rs. 33.483 million (2005: 46 million) has been charged to the profit and loss</t>
  </si>
  <si>
    <t xml:space="preserve">account in the current period based on the actuarial advice.  </t>
  </si>
  <si>
    <t>6.1 &amp; 6.2</t>
  </si>
  <si>
    <t>6.3 &amp; 6.4</t>
  </si>
  <si>
    <t>6.3 &amp; 6.2</t>
  </si>
  <si>
    <t>6.4</t>
  </si>
  <si>
    <t>6.5</t>
  </si>
  <si>
    <t>6.1</t>
  </si>
  <si>
    <t>6.2</t>
  </si>
  <si>
    <t>6.3</t>
  </si>
  <si>
    <t>12.1</t>
  </si>
  <si>
    <t>12.2</t>
  </si>
  <si>
    <t>12.3</t>
  </si>
  <si>
    <t>12.4</t>
  </si>
  <si>
    <t>12.3.1</t>
  </si>
  <si>
    <t>12.3.2</t>
  </si>
  <si>
    <t>12.3.3</t>
  </si>
  <si>
    <t>12.3.4</t>
  </si>
  <si>
    <t>12.3.5 &amp; 12.3.6</t>
  </si>
  <si>
    <t>12.3.5</t>
  </si>
  <si>
    <t>12.3.6</t>
  </si>
  <si>
    <t>17.1.1</t>
  </si>
  <si>
    <t>17.2.1</t>
  </si>
  <si>
    <t>17.2.2</t>
  </si>
  <si>
    <t>17.4</t>
  </si>
  <si>
    <t>18.1</t>
  </si>
  <si>
    <t xml:space="preserve">Current account with SBP Banking Services Corporation - a subsidiary </t>
  </si>
  <si>
    <t>Investments in Banks and other financial institutions</t>
  </si>
  <si>
    <t xml:space="preserve">Investments in subsidiaries </t>
  </si>
  <si>
    <t>Investments in Government securities</t>
  </si>
  <si>
    <t>Additions   during the year</t>
  </si>
  <si>
    <t xml:space="preserve">Amortisation for the year  </t>
  </si>
  <si>
    <t xml:space="preserve">PROFIT EARNED THROUGH SUBSIDIARIES </t>
  </si>
  <si>
    <t>18.2</t>
  </si>
  <si>
    <t>19.3</t>
  </si>
  <si>
    <t>19.2</t>
  </si>
  <si>
    <t>21.</t>
  </si>
  <si>
    <t>21.1</t>
  </si>
  <si>
    <t>22.1</t>
  </si>
  <si>
    <t>22.2</t>
  </si>
  <si>
    <t>22.3</t>
  </si>
  <si>
    <t>22.4</t>
  </si>
  <si>
    <t>22.5</t>
  </si>
  <si>
    <t>22.6</t>
  </si>
  <si>
    <t>25.3</t>
  </si>
  <si>
    <t>26.2</t>
  </si>
  <si>
    <t>27.1</t>
  </si>
  <si>
    <t>(note 27.2.1)</t>
  </si>
  <si>
    <t>27.2.1</t>
  </si>
  <si>
    <t>50.</t>
  </si>
  <si>
    <t>51.</t>
  </si>
  <si>
    <t>15</t>
  </si>
  <si>
    <t>S.A., as mentioned in detail in note 12.3.5.</t>
  </si>
  <si>
    <t>Changes in equity for 2004 - 05</t>
  </si>
  <si>
    <t>Total recognised income and</t>
  </si>
  <si>
    <t xml:space="preserve">  expense for the year</t>
  </si>
  <si>
    <t>Changes in equity for 2005 - 06</t>
  </si>
  <si>
    <t>43.1</t>
  </si>
  <si>
    <t>Foreign currency reserves</t>
  </si>
  <si>
    <t>EDP equipment</t>
  </si>
  <si>
    <t>Bangladesh (former East Pakistan)</t>
  </si>
  <si>
    <t xml:space="preserve">   Bangladesh (former East Pakistan)</t>
  </si>
  <si>
    <t>Export sector</t>
  </si>
  <si>
    <t>Housing sector</t>
  </si>
  <si>
    <t>5</t>
  </si>
  <si>
    <t>20</t>
  </si>
  <si>
    <t>Advertisement</t>
  </si>
  <si>
    <t>Industrial sector</t>
  </si>
  <si>
    <t>Daily expenses</t>
  </si>
  <si>
    <t>Term Finance Certificates</t>
  </si>
  <si>
    <t>Employees</t>
  </si>
  <si>
    <t>Current account for administrative charges</t>
  </si>
  <si>
    <t>Prize Bonds and National Saving Certificates</t>
  </si>
  <si>
    <t>33.33</t>
  </si>
  <si>
    <t>Stationery</t>
  </si>
  <si>
    <t>Interest / mark-up rate risk management</t>
  </si>
  <si>
    <t>Staff retirement benefits</t>
  </si>
  <si>
    <t>Accrued interest and discount on deposits</t>
  </si>
  <si>
    <t>Charges on allocation of Special Drawing Rights of IMF</t>
  </si>
  <si>
    <t xml:space="preserve">Present value of the obligations </t>
  </si>
  <si>
    <t>Provision made in respect of the staff retirement benefits</t>
  </si>
  <si>
    <t>Increase/ (decrease) in cash and cash equivalents during the year</t>
  </si>
  <si>
    <t>Amount recognised in the profit and loss account</t>
  </si>
  <si>
    <t>26.1</t>
  </si>
  <si>
    <t>29.</t>
  </si>
  <si>
    <t>Employees contributions</t>
  </si>
  <si>
    <t>diminution in value of investments</t>
  </si>
  <si>
    <t xml:space="preserve">Loans and advances to the Governments </t>
  </si>
  <si>
    <t xml:space="preserve">DEFERRED INCOME </t>
  </si>
  <si>
    <t>*  includes finances provided under profit and loss sharing arrangements.</t>
  </si>
  <si>
    <t>State Bank of Pakistan</t>
  </si>
  <si>
    <t>Employees contribution</t>
  </si>
  <si>
    <t>Balance receivable from the Government of Pakistan</t>
  </si>
  <si>
    <t>Balance at June 30, 2006</t>
  </si>
  <si>
    <t>Advance against printing of notes</t>
  </si>
  <si>
    <t xml:space="preserve">Receivable from the Reserve Bank of India  </t>
  </si>
  <si>
    <t>Inter office balances</t>
  </si>
  <si>
    <t>Loans and advances</t>
  </si>
  <si>
    <t>Provision against doubtful balances</t>
  </si>
  <si>
    <t xml:space="preserve">  Monetary Fund</t>
  </si>
  <si>
    <t>Balance profit transferred to the Government of Pakistan</t>
  </si>
  <si>
    <t>EARMARKED FOREIGN CURRENCY BALANCES</t>
  </si>
  <si>
    <t>Provision during the year</t>
  </si>
  <si>
    <t>Appreciation on revaluation during the year:</t>
  </si>
  <si>
    <t>Bank guards</t>
  </si>
  <si>
    <t>Special transfer account</t>
  </si>
  <si>
    <t>UN reimbursement account</t>
  </si>
  <si>
    <t>Gain on disposal of investments</t>
  </si>
  <si>
    <t>(a) On-balance sheet gap represents the net amounts of on-balance sheet items.</t>
  </si>
  <si>
    <t xml:space="preserve">Special Drawing Rights of the International </t>
  </si>
  <si>
    <t>Special Drawing Rights of the International Monetary Fund</t>
  </si>
  <si>
    <t>SPECIAL DRAWING RIGHTS OF THE INTERNATIONAL</t>
  </si>
  <si>
    <t>Foreign currency securities</t>
  </si>
  <si>
    <t>Dividend</t>
  </si>
  <si>
    <t>2.0756 to 7.9447</t>
  </si>
  <si>
    <t>PROPERTY, PLANT AND EQUIPMENT</t>
  </si>
  <si>
    <t>Operating fixed assets</t>
  </si>
  <si>
    <t>Capital work-in-progress</t>
  </si>
  <si>
    <t>17.2</t>
  </si>
  <si>
    <t xml:space="preserve">Securities sold under agreement to repurchase </t>
  </si>
  <si>
    <t>Allocation of special drawing rights of IMF</t>
  </si>
  <si>
    <r>
      <t>As mentioned in note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4.1, the Bank is responsible for issuing coins of various denominations on </t>
    </r>
  </si>
  <si>
    <t>This represents grant received for capital expenditure and, as indicated in note 4.9 to these financial</t>
  </si>
  <si>
    <t xml:space="preserve">As mentioned in note 4.8, the Bank operates the following staff retirement benefit schemes: </t>
  </si>
  <si>
    <t>Exchange gain- net</t>
  </si>
  <si>
    <t>Increase / (decrease) in liabilities:</t>
  </si>
  <si>
    <t>(Increase) / decrease in assets:</t>
  </si>
  <si>
    <t>Transferred to reserve fund</t>
  </si>
  <si>
    <t xml:space="preserve">The realisability of the above balances is subject to final settlement between the Government of Pakistan and Governments of Bangladesh (former East Pakistan) and India. </t>
  </si>
  <si>
    <t>48.</t>
  </si>
  <si>
    <t xml:space="preserve">The Bank has appointed external managers to invest a part of the foreign exchange reserves in </t>
  </si>
  <si>
    <t xml:space="preserve">international fixed income securities. The external managers are selected after conducting a </t>
  </si>
  <si>
    <t xml:space="preserve">operations. </t>
  </si>
  <si>
    <t xml:space="preserve">The Bank is primarily subject to interest/mark-up rate, credit, currency and liquidity risks. The </t>
  </si>
  <si>
    <t xml:space="preserve">management of these risks. </t>
  </si>
  <si>
    <t>June 2006, the liabilities would have increased by Rs.15,154.859 million, profit for the year would</t>
  </si>
  <si>
    <t xml:space="preserve">have reduced by Rs.303.345 million and equity would have reduced by Rs.15,154.859 million. </t>
  </si>
  <si>
    <t xml:space="preserve">changes in the market interest/ mark-up rates. The Bank has adopted appropriate policies to </t>
  </si>
  <si>
    <t>minimise its exposure to this risk. The Bank's management, the Central Board and the investment</t>
  </si>
  <si>
    <t xml:space="preserve">Currency risk is the risk that the value of a financial instrument will fluctuate due to changes in </t>
  </si>
  <si>
    <t>The Bank reviews its loan portfolio to assess recoverability of loans and advances and provision</t>
  </si>
  <si>
    <t>required thereagainst on a continuous basis. While assessing this requirement, various factors</t>
  </si>
  <si>
    <t>including the delinquency in the account, financial position of the borrower and other relevant</t>
  </si>
  <si>
    <t>4.74 to 6.62</t>
  </si>
  <si>
    <t xml:space="preserve"> Rs.5 denominated Bank note</t>
  </si>
  <si>
    <t xml:space="preserve">perform according to expectations. </t>
  </si>
  <si>
    <t xml:space="preserve">performance, changes in technology, and operational and financing cash flows. </t>
  </si>
  <si>
    <t xml:space="preserve">Estimates of useful life of the property and equipment are based on the management’s best </t>
  </si>
  <si>
    <t xml:space="preserve">estimate. </t>
  </si>
  <si>
    <t xml:space="preserve">Reasons for </t>
  </si>
  <si>
    <t>reclassification</t>
  </si>
  <si>
    <t xml:space="preserve">Rupees in </t>
  </si>
  <si>
    <t>thousands</t>
  </si>
  <si>
    <t>has designed and implemented a framework of controls to identify, monitor and manage these</t>
  </si>
  <si>
    <t xml:space="preserve">risks. The senior management is responsible for advising the Governor on the monitoring and </t>
  </si>
  <si>
    <t xml:space="preserve">Interest / mark-up rate risk is the risk that the value of a financial instrument will fluctuate due to </t>
  </si>
  <si>
    <t>committee has set appropriate duration limits and a separate department deals with the</t>
  </si>
  <si>
    <t xml:space="preserve">monitoring of the Bank's interest/ mark-up rate risk exposure based on these limits. </t>
  </si>
  <si>
    <t xml:space="preserve">reviewed and analysed by the appropriate officials and the exposure is controlled through </t>
  </si>
  <si>
    <t xml:space="preserve">counterparty and credit limits. Counterparties are allocated to a particular class based mainly on </t>
  </si>
  <si>
    <t>and cause the other party to incur a financial loss. Credit risk in the Bank's portfolio is monitored,</t>
  </si>
  <si>
    <t>their credit rating. Foreign currency placements are made in approved currencies and</t>
  </si>
  <si>
    <t>usually secured either by Government guarantees or by demand promissory notes. Geographical</t>
  </si>
  <si>
    <t>exposures are controlled by country limits and are updated as and when necessary with all limits</t>
  </si>
  <si>
    <t>formally reviewed on a periodic basis. The Bank's exposure to credit risk associated with foreign</t>
  </si>
  <si>
    <t>operations is managed by monitoring compliance with investment limits for counterparties. The</t>
  </si>
  <si>
    <t xml:space="preserve">Bank's credit risk mainly lies with exposure towards government sector and financial institutions. </t>
  </si>
  <si>
    <t>risk arising out of the local currency activities, the Bank manages the daily liquidity position of the</t>
  </si>
  <si>
    <t>banking system including advancing and withdrawal of funds from the system for smoothening</t>
  </si>
  <si>
    <t xml:space="preserve">out daily peaks and troughs. </t>
  </si>
  <si>
    <t>Credit risk is the risk that one party to a financial instrument will fail to discharge an obligation</t>
  </si>
  <si>
    <t>government securities. Loans and advances to scheduled banks and financial institutions are</t>
  </si>
  <si>
    <t>foreign exchange rates. Foreign currency activities result mainly from the Bank's holding of</t>
  </si>
  <si>
    <t>foreign currency assets under its foreign reserves management function and the overall level of</t>
  </si>
  <si>
    <t>these assets is determined based on the prevailing extent of credit and liquidity risks. In order to</t>
  </si>
  <si>
    <t>avoid losses arising from adverse changes in the rates of exchange, the Bank's compliance with</t>
  </si>
  <si>
    <t>the limits established for foreign currency positions is being regularly monitored by the</t>
  </si>
  <si>
    <t xml:space="preserve">management. </t>
  </si>
  <si>
    <t>The Bank also holds from time to time, foreign currency assets and liabilities that arise from the</t>
  </si>
  <si>
    <t xml:space="preserve">implementation of domestic monetary policies. Any foreign currency exposure relating to these </t>
  </si>
  <si>
    <t>implementation activities are hedged through the use of foreign currency forwards, swaps and</t>
  </si>
  <si>
    <t xml:space="preserve">other transactions.  </t>
  </si>
  <si>
    <t>Government securities</t>
  </si>
  <si>
    <t>Loans and advances to Government owned / controlled financial institutions</t>
  </si>
  <si>
    <t>Non-banking financial institutions</t>
  </si>
  <si>
    <t>Loans and advances to private sector financial institutions</t>
  </si>
  <si>
    <t>Government owned / controlled and private sector financial institutions</t>
  </si>
  <si>
    <t>Saudi Arabia special loan account</t>
  </si>
  <si>
    <t>financial institutions. The related obligation of the Bank to exchange foreign currency with the</t>
  </si>
  <si>
    <t xml:space="preserve">Held under Cash Reserve Requirement </t>
  </si>
  <si>
    <t xml:space="preserve">The above deposits are free of interest except deposits under cash reserve requirements </t>
  </si>
  <si>
    <t xml:space="preserve"> which are remunerated at the rates given below: </t>
  </si>
  <si>
    <t xml:space="preserve">The Bank also enters into forward foreign exchange contracts with the commercial banks and </t>
  </si>
  <si>
    <t xml:space="preserve">financial institutions to hedge against the currency risk on foreign currency swap transactions.  </t>
  </si>
  <si>
    <t>Liquidity risk is the risk that an entity will encounter difficulty in raising funds to meet</t>
  </si>
  <si>
    <t>commitments associated with the financial instruments. In order to reduce the level of liquidity</t>
  </si>
  <si>
    <t>The risk arising out of the Bank's obligations for foreign currency balances or deposits is</t>
  </si>
  <si>
    <t>49.</t>
  </si>
  <si>
    <t>managed through available reserves generated mainly from borrowings and open market</t>
  </si>
  <si>
    <t>thorough due diligence by the Bank and externally hired investment consultants, and appointed</t>
  </si>
  <si>
    <t xml:space="preserve">SECURITIES SOLD UNDER AGREEMENT TO REPURCHASE </t>
  </si>
  <si>
    <t>EXCHANGE GAIN - net</t>
  </si>
  <si>
    <t>1.5 to 12</t>
  </si>
  <si>
    <t>Balance at June 30, 2004</t>
  </si>
  <si>
    <t>SBP Banking Services Corporation</t>
  </si>
  <si>
    <t>Gold reserves held by the Bank</t>
  </si>
  <si>
    <t xml:space="preserve">Others </t>
  </si>
  <si>
    <t>Auditors' remuneration</t>
  </si>
  <si>
    <t>Depreciation</t>
  </si>
  <si>
    <t>Amortisation of deferred income</t>
  </si>
  <si>
    <t>Figures have been rounded off to the nearest thousand rupees.</t>
  </si>
  <si>
    <t>Management of public debts</t>
  </si>
  <si>
    <t>Rupee coins</t>
  </si>
  <si>
    <t>Current accounts</t>
  </si>
  <si>
    <t xml:space="preserve">Deposit accounts </t>
  </si>
  <si>
    <t>Unlisted</t>
  </si>
  <si>
    <t>Retirement benefits and employees' compensated absences</t>
  </si>
  <si>
    <t>Other accruals and provisions</t>
  </si>
  <si>
    <t xml:space="preserve">LIABILITIES </t>
  </si>
  <si>
    <t>Fixed capital expenditure</t>
  </si>
  <si>
    <t>43.</t>
  </si>
  <si>
    <t>44.</t>
  </si>
  <si>
    <t>Notes and coins:</t>
  </si>
  <si>
    <t>- Coins</t>
  </si>
  <si>
    <t>Current account with SBP Banking Services Corporation- a subsidiary</t>
  </si>
  <si>
    <t>Less: Direct operating expenses</t>
  </si>
  <si>
    <t>Less: General administrative and other expenses</t>
  </si>
  <si>
    <t>Less: Other charges</t>
  </si>
  <si>
    <t xml:space="preserve">Bank notes issued </t>
  </si>
  <si>
    <t xml:space="preserve">Dividend received </t>
  </si>
  <si>
    <t xml:space="preserve">Profit for the year </t>
  </si>
  <si>
    <t>of the Fund Managers are being monitored through custodians. Market value of these investments is</t>
  </si>
  <si>
    <t>equivalent to USD 3,365.9 million (2005: USD 3,263.8 million) .</t>
  </si>
  <si>
    <t>This carries markup at the rate of 3.625% (2005: 3.625% ) per annum.</t>
  </si>
  <si>
    <t xml:space="preserve">SDRs were held as follows: </t>
  </si>
  <si>
    <t>Coins</t>
  </si>
  <si>
    <t>Coins held as assets of the Issue Department</t>
  </si>
  <si>
    <t xml:space="preserve">is as follows: </t>
  </si>
  <si>
    <t xml:space="preserve">Other- investments with holding less </t>
  </si>
  <si>
    <t xml:space="preserve">Buildings on freehold land </t>
  </si>
  <si>
    <t>Buildings on leasehold land</t>
  </si>
  <si>
    <t>Buildings on freehold land</t>
  </si>
  <si>
    <t>* The Central Board has proposed to transfer Rs. 19,142 million to the Reserve fund after approval of the Federal Government.</t>
  </si>
  <si>
    <t>These balances carry mark-up at 8.33 (2005: 6.93) percent per annum.</t>
  </si>
  <si>
    <t>This represents repurchase agreement borrowings and are subject to markup at the rate of  6.25 to</t>
  </si>
  <si>
    <t>The share capital of the Bank is owned by the Government of Pakistan except for 200 shares</t>
  </si>
  <si>
    <t>provisions of the State Bank of Pakistan Act, 1956 for the purpose of provision to cover against risks</t>
  </si>
  <si>
    <t>- Payable to IMF</t>
  </si>
  <si>
    <t>Corporation for the year ended June 30, 2006, as mentioned in note 39, has also been transferred to</t>
  </si>
  <si>
    <r>
      <t>the Bank in accordance with the arrangements mentioned in note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43.3.</t>
    </r>
  </si>
  <si>
    <t>policies and procedures for managing these risks are outlined in notes 48.1.1 to 48.1.4. The Bank</t>
  </si>
  <si>
    <t>Salaries and other benefits</t>
  </si>
  <si>
    <t>under the projected Unit Credit Method using following significant assumptions:</t>
  </si>
  <si>
    <t>The Bank's liability for employees' compensated absences determined through an actuarial valuation</t>
  </si>
  <si>
    <t>Special Drawing Rights of IMF</t>
  </si>
  <si>
    <t xml:space="preserve">thereagainst for the past services of the employees at June 30, 2006 based on actuarial valuation </t>
  </si>
  <si>
    <t>Surplus on revaluation of property, plant and equipment</t>
  </si>
  <si>
    <t>of Directors of the Bank.</t>
  </si>
  <si>
    <t>ACCOUNTING ESTIMATES AND JUDGMENTS</t>
  </si>
  <si>
    <t>Provision against loans and advances</t>
  </si>
  <si>
    <t>Impairment of available for-sale investments</t>
  </si>
  <si>
    <t>The Bank determines that available-for-sale equity investments are impaired when there has</t>
  </si>
  <si>
    <t>Held-to-maturity investments</t>
  </si>
  <si>
    <t>Retirement Benefits</t>
  </si>
  <si>
    <t>Useful life of Property, plant and Equipment</t>
  </si>
  <si>
    <t xml:space="preserve">  BANK OF INDIA </t>
  </si>
  <si>
    <t>The interest / mark-up rate profile of the interest / mark-up bearing loans and advances is as follows:</t>
  </si>
  <si>
    <t xml:space="preserve">These are free of interest and represent amounts kept in separate special accounts to meet </t>
  </si>
  <si>
    <t>forthcoming foreign currency debt repayment obligations of the Government of Pakistan.</t>
  </si>
  <si>
    <t xml:space="preserve">  currency swap arrangements</t>
  </si>
  <si>
    <t xml:space="preserve">  risk coverage scheme </t>
  </si>
  <si>
    <t xml:space="preserve">Above balances include Rs. 548.518 million (2005: Rs. 518.806 million) which are recoverable from various </t>
  </si>
  <si>
    <t xml:space="preserve">  INSTITUTIONS</t>
  </si>
  <si>
    <t>25.2</t>
  </si>
  <si>
    <t>----------------------------- (Rupees in '000) -----------------------------</t>
  </si>
  <si>
    <t>----------------- (Rupees in '000) -----------------</t>
  </si>
  <si>
    <t>---------------------- (Rupees in '000) ----------------------</t>
  </si>
  <si>
    <t>---------------------------------------------------------------(Rupees in '000) ---------------------------------------------------------------</t>
  </si>
  <si>
    <t>--------------------------------------------------------------- (Rupees in '000) ---------------------------------------------------------------</t>
  </si>
  <si>
    <t xml:space="preserve">These represent rupee counterpart of the foreign currency loan disbursements received from various </t>
  </si>
  <si>
    <t xml:space="preserve">international financial institutions on behalf of the Government and credited to separate deposit </t>
  </si>
  <si>
    <t xml:space="preserve">accounts in accordance with the instructions of the Government. </t>
  </si>
  <si>
    <t xml:space="preserve">Amounts due to financial institutions under currency </t>
  </si>
  <si>
    <t xml:space="preserve">  swap arrangements</t>
  </si>
  <si>
    <t xml:space="preserve">UNREALISED APPRECIATION ON GOLD </t>
  </si>
  <si>
    <t xml:space="preserve">  RESERVES</t>
  </si>
  <si>
    <t>Gold reserves are revalued under the State Bank of Pakistan Act, 1956 and State Bank of Pakistan</t>
  </si>
  <si>
    <t>Proceeds from disposal of property, plant and equipment</t>
  </si>
  <si>
    <t xml:space="preserve">General Regulations at the closing market rate fixed on the last working day of the year in London. </t>
  </si>
  <si>
    <t>______________________</t>
  </si>
  <si>
    <t xml:space="preserve">Share of profit on finances under profit and loss </t>
  </si>
  <si>
    <t xml:space="preserve">  sharing arrangements</t>
  </si>
  <si>
    <t>Payable to Government in respect of privatisation proceeds</t>
  </si>
  <si>
    <t>- Appreciation from revaluation during the year</t>
  </si>
  <si>
    <t>------------------------------------------- (Rupees in '000) -------------------------------------------</t>
  </si>
  <si>
    <t>Annual rate of depreciation %</t>
  </si>
  <si>
    <t>Annual rate  of  amortisation  %</t>
  </si>
  <si>
    <t xml:space="preserve">Exchange loss payable under exchange risk </t>
  </si>
  <si>
    <t xml:space="preserve">  coverage scheme</t>
  </si>
  <si>
    <t>Postages, telegram / telex and telephone</t>
  </si>
  <si>
    <t>an un-funded gratuity scheme for all employees other than those who opted for the new general</t>
  </si>
  <si>
    <t>provident fund scheme or joined the Bank after 1975 and are entitled to pension scheme benefits;</t>
  </si>
  <si>
    <t>--------------------------------------------- (Rupees in '000) ---------------------------------------------</t>
  </si>
  <si>
    <t>M. Yousuf</t>
  </si>
  <si>
    <t>Adil Saleem</t>
  </si>
  <si>
    <t>&amp; Co.</t>
  </si>
  <si>
    <t>Taseer Hadi</t>
  </si>
  <si>
    <t>The amounts charged in the profit and loss account during the current year in respect of the above</t>
  </si>
  <si>
    <t>benefits are as follows:</t>
  </si>
  <si>
    <t>Charge for the year</t>
  </si>
  <si>
    <t>Net recognised</t>
  </si>
  <si>
    <t>liability at</t>
  </si>
  <si>
    <t>Payments during the</t>
  </si>
  <si>
    <t>ESAF commitment with IMF</t>
  </si>
  <si>
    <t xml:space="preserve">- Open market operations (including currency swap </t>
  </si>
  <si>
    <t xml:space="preserve">    arrangements)</t>
  </si>
  <si>
    <t xml:space="preserve">  (Guarantee) Limited</t>
  </si>
  <si>
    <t xml:space="preserve">- </t>
  </si>
  <si>
    <t>an un-funded pension scheme;</t>
  </si>
  <si>
    <t>an un-funded contributory benevolent fund scheme; and</t>
  </si>
  <si>
    <t>an un-funded post retirement medical benefit scheme.</t>
  </si>
  <si>
    <t>2006</t>
  </si>
  <si>
    <t>For the year ended June 30, 2006</t>
  </si>
  <si>
    <t>As at June 30, 2006</t>
  </si>
  <si>
    <t xml:space="preserve">These include investments made in international market through reputable Fund Managers. The activities </t>
  </si>
  <si>
    <t>7.9447 to 8.4869</t>
  </si>
  <si>
    <t>These represent face value of certain commercial papers amounting to Rs. 78.5 million (2005: Rs.</t>
  </si>
  <si>
    <t>the Bank at June 30, 2006.</t>
  </si>
  <si>
    <t>These facilities are secured by demand promissory notes issued by the Government of Pakistan.</t>
  </si>
  <si>
    <t>KPMG</t>
  </si>
  <si>
    <t>b)</t>
  </si>
  <si>
    <t>Certain employees of the Bank who had retired under the Early Retirement Incentive Scheme</t>
  </si>
  <si>
    <t>(ERIS) introduced in the year 2000 had filed a case against the Bank in the Federal Services</t>
  </si>
  <si>
    <t>Tribunal for the enhancement of their entitlement paid under the above scheme.  The Tribunal</t>
  </si>
  <si>
    <t>has decided the case in favour of these employees and has directed that the entitlement under</t>
  </si>
  <si>
    <t>the above scheme should include the effect of subsequent increases in certain staff retirement</t>
  </si>
  <si>
    <t>and other benefits. The Bank, in response to the above decision of the Tribunal, has filed a civil</t>
  </si>
  <si>
    <t>petition for leave to appeal in the Supreme Court of Pakistan which is pending for hearing. The</t>
  </si>
  <si>
    <t>management is confident that the Bank would not have to bear any additional expenditure on</t>
  </si>
  <si>
    <t xml:space="preserve">this account and, accordingly, no provision has been made in this  respect.  </t>
  </si>
  <si>
    <t>c)</t>
  </si>
  <si>
    <t xml:space="preserve">A claim of Rs. 1,600 million has been lodged against the Bank which has not been  </t>
  </si>
  <si>
    <t xml:space="preserve">acknowledged by the Bank. The Bank has a counter claim of Rs. 493 million. With the mutual  </t>
  </si>
  <si>
    <t xml:space="preserve">agreement of both the parties, matter has been referred to the Arbitrator.  Management is </t>
  </si>
  <si>
    <t xml:space="preserve">made against the claim. </t>
  </si>
  <si>
    <t>d)</t>
  </si>
  <si>
    <t>Other claims against the Bank not acknowledged as debts</t>
  </si>
  <si>
    <t>1.98 to2.59</t>
  </si>
  <si>
    <t>1.0 to 12</t>
  </si>
  <si>
    <t>Actuarial gain recognised</t>
  </si>
  <si>
    <t xml:space="preserve">Net recognised </t>
  </si>
  <si>
    <t>liability</t>
  </si>
  <si>
    <t>OPERATING PROFIT</t>
  </si>
  <si>
    <t>Profit for the year after non-cash items</t>
  </si>
  <si>
    <t>Depreciation for the year on (deletions) / transfers*</t>
  </si>
  <si>
    <t xml:space="preserve">This represents provision made against various litigation against the Bank. </t>
  </si>
  <si>
    <t>Surplus arose on revaluation as at June 30</t>
  </si>
  <si>
    <t>Cost  at         June 30</t>
  </si>
  <si>
    <t>Accumulated  amortisation at June 30</t>
  </si>
  <si>
    <t>Net book value at June 30</t>
  </si>
  <si>
    <t>Cost / revalued amount at         June 30</t>
  </si>
  <si>
    <t>Accumulated depreciation at June 30</t>
  </si>
  <si>
    <t>Employees loans</t>
  </si>
  <si>
    <t xml:space="preserve">Current account with SBP Banking Services </t>
  </si>
  <si>
    <t xml:space="preserve"> Corporation- a subsidiary</t>
  </si>
  <si>
    <t>amount is subject to final settlement between the Governments of Pakistan and Bangladesh (former</t>
  </si>
  <si>
    <t>which were earmarked to meet specific foreign currency liabilities and commitments of the Bank.</t>
  </si>
  <si>
    <t>2.34 to 4.11</t>
  </si>
  <si>
    <t>1.79 to 3.60</t>
  </si>
  <si>
    <t>3.75 to 4.90</t>
  </si>
  <si>
    <t xml:space="preserve">of 0.15% (2005: 0.15%) of the total amount of collection and remittances handled by NBP. </t>
  </si>
  <si>
    <t>Unrecognised actuarial gain / (loss)</t>
  </si>
  <si>
    <t xml:space="preserve">Present values of obligations under the retirement benefit schemes and liabilities recognised </t>
  </si>
  <si>
    <t xml:space="preserve">as of that date was as follows: </t>
  </si>
  <si>
    <t>During the year the actuarial valuations of the above defined benefit obligations were carried out</t>
  </si>
  <si>
    <t xml:space="preserve">- Issue Department  </t>
  </si>
  <si>
    <t>- Banking Department</t>
  </si>
  <si>
    <t xml:space="preserve">National Institute of Banking and Finance </t>
  </si>
  <si>
    <t xml:space="preserve">   under quota arrangements</t>
  </si>
  <si>
    <t xml:space="preserve">Reserve tranche with the International Monetary Fund </t>
  </si>
  <si>
    <t>Indian notes representing assets receivable from</t>
  </si>
  <si>
    <t>over the term of lease</t>
  </si>
  <si>
    <t>Non interest/ mark-up bearing</t>
  </si>
  <si>
    <t>20.</t>
  </si>
  <si>
    <t>Borrowings under:</t>
  </si>
  <si>
    <t>Scheduled banks</t>
  </si>
  <si>
    <t>Unearned exchange risk fee</t>
  </si>
  <si>
    <t>Remittance clearance account</t>
  </si>
  <si>
    <t>Printing charges</t>
  </si>
  <si>
    <t>Agency commission</t>
  </si>
  <si>
    <t>22.</t>
  </si>
  <si>
    <t>23.</t>
  </si>
  <si>
    <t>Other deposits and accounts</t>
  </si>
  <si>
    <t>Provident fund scheme</t>
  </si>
  <si>
    <t>Benevolent fund scheme</t>
  </si>
  <si>
    <t>24.</t>
  </si>
  <si>
    <t>Provision for employees' compensated absences</t>
  </si>
  <si>
    <t>25.</t>
  </si>
  <si>
    <t>Number of shares</t>
  </si>
  <si>
    <t>26.</t>
  </si>
  <si>
    <t>Other Funds</t>
  </si>
  <si>
    <t>27.</t>
  </si>
  <si>
    <t>28.</t>
  </si>
  <si>
    <t>Contingencies</t>
  </si>
  <si>
    <t>Government</t>
  </si>
  <si>
    <t xml:space="preserve">Commitments </t>
  </si>
  <si>
    <t>-</t>
  </si>
  <si>
    <t>Investments</t>
  </si>
  <si>
    <t>i)</t>
  </si>
  <si>
    <t>ii)</t>
  </si>
  <si>
    <t>a)</t>
  </si>
  <si>
    <t>Note</t>
  </si>
  <si>
    <t>ASSETS</t>
  </si>
  <si>
    <t xml:space="preserve">Investments </t>
  </si>
  <si>
    <t>Loans, advances and bills of exchange</t>
  </si>
  <si>
    <t>Balance payable to the Government of Pakistan</t>
  </si>
  <si>
    <t>Dividend payable</t>
  </si>
  <si>
    <t>Assets held with the Reserve Bank of India</t>
  </si>
  <si>
    <t>Intangible assets</t>
  </si>
  <si>
    <t>Other assets</t>
  </si>
  <si>
    <t xml:space="preserve">Held for trading </t>
  </si>
  <si>
    <t>Held to maturity</t>
  </si>
  <si>
    <t>Available for sale</t>
  </si>
  <si>
    <t xml:space="preserve">Investments in shares of banks and other </t>
  </si>
  <si>
    <t>Commercial papers held in issue department</t>
  </si>
  <si>
    <t>These represent loans and advances provided to the Government of Bangladesh (former East Pakistan).</t>
  </si>
  <si>
    <t>International organisations</t>
  </si>
  <si>
    <t>Above guarantees  are secured by counter guarantees either from the Government of Pakistan or</t>
  </si>
  <si>
    <t xml:space="preserve">local financial institutions.  </t>
  </si>
  <si>
    <t>Bank notes in circulation</t>
  </si>
  <si>
    <t>Bills payable</t>
  </si>
  <si>
    <t>(% per annum)</t>
  </si>
  <si>
    <t>National Bank of Pakistan</t>
  </si>
  <si>
    <t>Habib Bank Limited</t>
  </si>
  <si>
    <t>Equity Participation Fund</t>
  </si>
  <si>
    <t>Securities sold under agreement to re-purchase</t>
  </si>
  <si>
    <t>- investments</t>
  </si>
  <si>
    <t>Other liabilities</t>
  </si>
  <si>
    <t>Deferred liability - staff retirement benefits</t>
  </si>
  <si>
    <t>Total liabilities</t>
  </si>
  <si>
    <t>Share capital</t>
  </si>
  <si>
    <t>Reserves</t>
  </si>
  <si>
    <t>Provincial Governments</t>
  </si>
  <si>
    <t>Provision against diminution in value of investments</t>
  </si>
  <si>
    <t>%</t>
  </si>
  <si>
    <t xml:space="preserve">ASSETS HELD WITH THE RESERVE </t>
  </si>
  <si>
    <t>18.</t>
  </si>
  <si>
    <t>Other provisions</t>
  </si>
  <si>
    <t>Movement of other provisions</t>
  </si>
  <si>
    <t>Reversed during the year</t>
  </si>
  <si>
    <t>Classified as a receivable balance</t>
  </si>
  <si>
    <t>Deputy Governor</t>
  </si>
  <si>
    <t>Aftab Mustafa Khan</t>
  </si>
  <si>
    <t>Director Accounts</t>
  </si>
  <si>
    <t>Liabilities and provisions written back - net</t>
  </si>
  <si>
    <t xml:space="preserve">Charges on allocation of Special Drawing Rights </t>
  </si>
  <si>
    <t>Expenses allocated by SBP Banking Services Corporation</t>
  </si>
  <si>
    <t xml:space="preserve">Repairs and maintenance </t>
  </si>
  <si>
    <t xml:space="preserve">Postage and telephone </t>
  </si>
  <si>
    <t>0.87 to 2.13</t>
  </si>
  <si>
    <r>
      <t xml:space="preserve">These financial statements were authorised for issue on </t>
    </r>
    <r>
      <rPr>
        <b/>
        <u val="single"/>
        <sz val="11"/>
        <rFont val="Times New Roman"/>
        <family val="1"/>
      </rPr>
      <t xml:space="preserve">September 7, 2006 </t>
    </r>
    <r>
      <rPr>
        <sz val="11"/>
        <rFont val="Times New Roman"/>
        <family val="1"/>
      </rPr>
      <t xml:space="preserve">by the Central Board </t>
    </r>
  </si>
  <si>
    <t>2.96 to 4.74</t>
  </si>
  <si>
    <t>The break-up value of the Bank's investment in the shares of HBL amounted to Rs. 19,046.317 (2006:</t>
  </si>
  <si>
    <t>PROFIT FOR THE YEAR AFTER  NON-CASH ITEMS</t>
  </si>
  <si>
    <t xml:space="preserve">On balance sheet gap </t>
  </si>
  <si>
    <t xml:space="preserve">Interest profile of payable to IMF is as under: </t>
  </si>
  <si>
    <t xml:space="preserve">Fund facilities </t>
  </si>
  <si>
    <t>Other credit schemes</t>
  </si>
  <si>
    <t>1.72 to 2.40</t>
  </si>
  <si>
    <t>Additions / (deletions) / transfers* during the year</t>
  </si>
  <si>
    <t>Present value of the defined benefit obligation</t>
  </si>
  <si>
    <t xml:space="preserve">Gratuity </t>
  </si>
  <si>
    <t>Current service cost</t>
  </si>
  <si>
    <t>Interest cost</t>
  </si>
  <si>
    <t>Employees' compensated absences</t>
  </si>
  <si>
    <t>Risk management policies</t>
  </si>
  <si>
    <t>Federal Government</t>
  </si>
  <si>
    <t>Fertilizer account</t>
  </si>
  <si>
    <t>Food account</t>
  </si>
  <si>
    <t>Government deposit account no. XII</t>
  </si>
  <si>
    <t>Provincial Government - Punjab</t>
  </si>
  <si>
    <t>Others</t>
  </si>
  <si>
    <t>District Government account no. IV</t>
  </si>
  <si>
    <t>Provincial Government - Sindh</t>
  </si>
  <si>
    <t>Provincial Government - NWFP</t>
  </si>
  <si>
    <t>Federal Bank for Cooperatives</t>
  </si>
  <si>
    <t>- Opening balance</t>
  </si>
  <si>
    <t>Provincial Government - Balochistan</t>
  </si>
  <si>
    <t xml:space="preserve">   Fund under quota arrangements</t>
  </si>
  <si>
    <t>Government owned / controlled bodies and authorities</t>
  </si>
  <si>
    <t xml:space="preserve"> - North West Frontier Province (NWFP)</t>
  </si>
  <si>
    <t>Current accounts of the Government</t>
  </si>
  <si>
    <t xml:space="preserve">Expenses reimbursed to SBP Banking </t>
  </si>
  <si>
    <t xml:space="preserve">  Services Corporation</t>
  </si>
  <si>
    <t>Net credit balance</t>
  </si>
  <si>
    <t>-------------------------------------------------(Rupees in '000) -------------------------------------------------</t>
  </si>
  <si>
    <t xml:space="preserve">   Ordinary shares of Rs. 100 each</t>
  </si>
  <si>
    <t xml:space="preserve">   Fully paid-up ordinary shares of Rs. 100 each </t>
  </si>
  <si>
    <t>Securities sold under an agreement to repurchase</t>
  </si>
  <si>
    <t xml:space="preserve">The balance in current and deposit accounts carry interest at various rates ranging between 0.96 to 5.54  </t>
  </si>
  <si>
    <t>3.28 to 5.51</t>
  </si>
  <si>
    <t>78.5 million) which are held in Bangladesh (former East Pakistan). The realisability of the underlying</t>
  </si>
  <si>
    <t xml:space="preserve">East Pakistan). </t>
  </si>
  <si>
    <t xml:space="preserve">RESERVE TRANCHE WITH THE </t>
  </si>
  <si>
    <t xml:space="preserve">  INTERNATIONAL MONETARY FUND </t>
  </si>
  <si>
    <t xml:space="preserve">  UNDER QUOTA ARRANGEMENTS</t>
  </si>
  <si>
    <t>19.</t>
  </si>
  <si>
    <t xml:space="preserve">PAYABLE TO INTERNATIONAL </t>
  </si>
  <si>
    <t xml:space="preserve">Home </t>
  </si>
  <si>
    <t>remittance</t>
  </si>
  <si>
    <t>Mansur-ur-Rehman Khan</t>
  </si>
  <si>
    <t xml:space="preserve">GENERAL ADMINISTRATIVE AND </t>
  </si>
  <si>
    <t xml:space="preserve">  OTHER EXPENSES</t>
  </si>
  <si>
    <t>- SBP Banking Services Corporation</t>
  </si>
  <si>
    <t xml:space="preserve">- National Institute of Banking and Finance </t>
  </si>
  <si>
    <t xml:space="preserve">    (Guarantee) Limited</t>
  </si>
  <si>
    <t>Current accounts of the Governments</t>
  </si>
  <si>
    <t>License / Credit Information Bureau fee recovered</t>
  </si>
  <si>
    <t>Credit risk management</t>
  </si>
  <si>
    <t>Currency risk management</t>
  </si>
  <si>
    <t>6.</t>
  </si>
  <si>
    <t>13.</t>
  </si>
  <si>
    <t>15.</t>
  </si>
  <si>
    <t>24.1</t>
  </si>
  <si>
    <t>46.</t>
  </si>
  <si>
    <t>Reserve fund</t>
  </si>
  <si>
    <t>Rural credit fund</t>
  </si>
  <si>
    <t>Industrial credit fund</t>
  </si>
  <si>
    <t>Amortisation of intangible assets</t>
  </si>
  <si>
    <t>Export credit fund</t>
  </si>
  <si>
    <t>Loans guarantee fund</t>
  </si>
  <si>
    <t>Housing credit fund</t>
  </si>
  <si>
    <t xml:space="preserve">These represent certain foreign currency balances held with the banks and financial institutions </t>
  </si>
  <si>
    <t xml:space="preserve">These represent Pak Rupee equivalent of Indian rupee notes which were in circulation in Pakistan </t>
  </si>
  <si>
    <t xml:space="preserve">until retirement from circulation and are to be repatriated to India under the Monetary Order from </t>
  </si>
  <si>
    <t xml:space="preserve">Fuel </t>
  </si>
  <si>
    <t xml:space="preserve">Electricity, gas and water </t>
  </si>
  <si>
    <t xml:space="preserve">Legal and professional </t>
  </si>
  <si>
    <t xml:space="preserve">Conveyance </t>
  </si>
  <si>
    <t xml:space="preserve">the Government of Pakistan. Realisability of these assets is subject to final settlement between the </t>
  </si>
  <si>
    <t xml:space="preserve">Governments of Pakistan and India. </t>
  </si>
  <si>
    <t xml:space="preserve">behalf of the Government. The closing balance represents the face value of unissued coins held by </t>
  </si>
  <si>
    <t xml:space="preserve">  FROM THE RESERVE BANK OF INDIA</t>
  </si>
  <si>
    <t xml:space="preserve">  issue department</t>
  </si>
  <si>
    <t xml:space="preserve">SBP Banking Services Corporation - wholly </t>
  </si>
  <si>
    <t>LIABILITY</t>
  </si>
  <si>
    <t>Commission income</t>
  </si>
  <si>
    <t>Unappropriated profit</t>
  </si>
  <si>
    <t>Available for sale investments</t>
  </si>
  <si>
    <t>United Bank Limited</t>
  </si>
  <si>
    <t>CURRENT ACCOUNTS OF THE GOVERNMENTS</t>
  </si>
  <si>
    <t>Repairs and maintenance</t>
  </si>
  <si>
    <t xml:space="preserve">  owned subsidiary</t>
  </si>
  <si>
    <t xml:space="preserve">These represent investments guaranteed / issued by the Government. The profile of return on securities </t>
  </si>
  <si>
    <t>Contribution to SBP Employees' Welfare Trust</t>
  </si>
  <si>
    <t>Liquidity risk management</t>
  </si>
  <si>
    <t xml:space="preserve">Foreign currency reserves </t>
  </si>
  <si>
    <t>Bank notes issued</t>
  </si>
  <si>
    <t>State Bank of Pakistan - Banking Department</t>
  </si>
  <si>
    <t>Balance Sheet</t>
  </si>
  <si>
    <t>State Bank of Pakistan - Issue Department</t>
  </si>
  <si>
    <t>Profit and Loss Account</t>
  </si>
  <si>
    <t>Cash Flow Statement</t>
  </si>
  <si>
    <t>Statement of Changes in Equity</t>
  </si>
  <si>
    <t>Appreciation during the year due to revaluation</t>
  </si>
  <si>
    <t>Bank notes held by the Banking Department</t>
  </si>
  <si>
    <t>Ordinary shares</t>
  </si>
  <si>
    <t>(Rupees in '000)</t>
  </si>
  <si>
    <t>Forward exchange contracts - sales</t>
  </si>
  <si>
    <t>5.</t>
  </si>
  <si>
    <t>Liability under quota arrangements</t>
  </si>
  <si>
    <t>Private sector financial institutions</t>
  </si>
  <si>
    <t>Government owned / controlled financial institutions</t>
  </si>
  <si>
    <t>14.</t>
  </si>
  <si>
    <t>12.</t>
  </si>
  <si>
    <t xml:space="preserve">Market value of the Bank's investment in the shares of United Bank Limited  at June 30, 2006 amounted to </t>
  </si>
  <si>
    <t xml:space="preserve">Market value of the Bank's investment in the shares of Allied Bank Limited  at June 30, 2006 amounted to </t>
  </si>
  <si>
    <t>Traveling and recreation expenses</t>
  </si>
  <si>
    <t>Agricultural sector</t>
  </si>
  <si>
    <t>17.</t>
  </si>
  <si>
    <t>-  Fund facilities</t>
  </si>
  <si>
    <t>-  Other credit schemes</t>
  </si>
  <si>
    <t xml:space="preserve">Post retirement </t>
  </si>
  <si>
    <t xml:space="preserve">  medical benefits</t>
  </si>
  <si>
    <t>Loss on remeasurement of securities classified as held for trading</t>
  </si>
  <si>
    <t>Expected rate of increase in salary 8.7 (2005: 9.5) percent per annum.</t>
  </si>
  <si>
    <t>Expected rate of discount 10.8 (2005: 11.6) percent per annum.</t>
  </si>
  <si>
    <t>Medical cost increase 5.5 (2005: 6.3) percent per annum.</t>
  </si>
  <si>
    <t>________________</t>
  </si>
  <si>
    <t>_______________________</t>
  </si>
  <si>
    <t>Allocation of special drawing rights of the International Monetary Fund</t>
  </si>
  <si>
    <t xml:space="preserve">Advance against issue of share capital </t>
  </si>
  <si>
    <t>This includes securities having carrying value of Rs. 62,098.533 million (2005:Rs. 1,234.030 million) given as</t>
  </si>
  <si>
    <t xml:space="preserve">collateral under repurchase agreement borrowing arrangements. </t>
  </si>
  <si>
    <t>Investments in above entities have been made under the specific directives of the Government in accordance</t>
  </si>
  <si>
    <t>with the provisions of the State Bank of Pakistan Act, 1956 and other relevant statutes. The management of</t>
  </si>
  <si>
    <t>the Bank does not exercise significant influence or control over these entities except for any regulatory</t>
  </si>
  <si>
    <t>purposes or control arising as a consequence of any statute which applies to the entire sector to which these</t>
  </si>
  <si>
    <t>entities belong. Accordingly, these entities have not been consolidated as subsidiaries or accounted for as</t>
  </si>
  <si>
    <t xml:space="preserve">investments in associates, or joint ventures. </t>
  </si>
  <si>
    <t xml:space="preserve">Market value of the Bank's investment in the shares of National Bank of Pakistan at June 30, 2006 amounted </t>
  </si>
  <si>
    <t>to Rs.114,906.093 million (2005: Rs.  47,966.850 million).</t>
  </si>
  <si>
    <t>Rs. 39,676.443 million (2005: Rs. 17,023.116 million).</t>
  </si>
  <si>
    <t>Rs.3,976.309 million (2005: Cost of Rs. 350.638 million).</t>
  </si>
  <si>
    <t>In 2004, the Bank along with the Privatization Commission and Government of Pakistan , entered into an</t>
  </si>
  <si>
    <t>agreement dated Feb 26, 2004 with the Aga Khan Fund for Economic Development S.A. (AKFED) for the</t>
  </si>
  <si>
    <t>transfer of ownership of 51% shares of Habib Bank Limited's (HBL) total paid up capital to AKFED for</t>
  </si>
  <si>
    <t>USD 389.929 million. Under this agreement, the Bank had transferred ownership of 38.5% of HBL's paid up</t>
  </si>
  <si>
    <t>capital upto June 30, 2005. The remaining ownership of 12.5% shares has been transferred during the year,</t>
  </si>
  <si>
    <t>and payment amounting to USD 99.263 million has been received thereagainst, resulting in a gain of Rs</t>
  </si>
  <si>
    <t xml:space="preserve">The above assets were allocated to the Government of Pakistan as its share of the assets of Reserve </t>
  </si>
  <si>
    <t>Securities purchased under agreement to re-sale</t>
  </si>
  <si>
    <t xml:space="preserve">Other assets </t>
  </si>
  <si>
    <t xml:space="preserve">Other liabilities </t>
  </si>
  <si>
    <t>(2005: 1.04 to 4.77) percent per annum.</t>
  </si>
  <si>
    <t>annum.</t>
  </si>
  <si>
    <t xml:space="preserve">  (NIBAF)</t>
  </si>
  <si>
    <t>As at June 30, 2006 the capital of NIBAF is Rs. 70 out of which Rs. 60 are held by the Bank. The Bank's</t>
  </si>
  <si>
    <t>holding in NIBAF inclusive of advance against share capital as at June 30, 2006 is 59.4%.</t>
  </si>
  <si>
    <t>18,884.75) million at December 31, 2005 based on the financial statements of HBL for the year then ended.</t>
  </si>
  <si>
    <t>This represents gain realised during the year (2005: 3,587.239 million) on disposal  of 12.5 ( 2005:</t>
  </si>
  <si>
    <t>FAIR VALUE OF FINANCIAL INSTRUMENTS</t>
  </si>
  <si>
    <t xml:space="preserve">Bank of India under the provisions of Pakistan (Monetary System and Reserve Bank) Order, 1947. </t>
  </si>
  <si>
    <t xml:space="preserve">The transfer of these assets to the Bank is subject to final settlement between the Governments of </t>
  </si>
  <si>
    <t xml:space="preserve">Pakistan and India.   </t>
  </si>
  <si>
    <t xml:space="preserve">During the year, mark-up on above balances due from the Federal and Provincial Governments was charged at </t>
  </si>
  <si>
    <t>various rates ranging between  7.6905 to 8.3296 (2005: 2.0581 to 6.9282) percent per annum.</t>
  </si>
  <si>
    <t xml:space="preserve">financial institutions operating in former East Pakistan. The realisability of these balances is subject to final </t>
  </si>
  <si>
    <t xml:space="preserve">settlement between the Governments of Pakistan and Bangladesh (former East Pakistan).  </t>
  </si>
  <si>
    <t xml:space="preserve">Exposure to the agricultural and industrial sectors respectively include Rs. 50,174.089 million and Rs. 1,083.124 </t>
  </si>
  <si>
    <t>Note printing charges are paid to Pakistan Security Printing Corporation (Private) Limited at</t>
  </si>
  <si>
    <t xml:space="preserve">million representing the cumulative Government guaranteed financing of Rs. 51,257.213 million </t>
  </si>
  <si>
    <t xml:space="preserve">(2005: Rs. 51,257.213 million) to Zarai Taraqiati Bank Limited (ZTBL). The restructuring of ZTBL is in progress </t>
  </si>
  <si>
    <t xml:space="preserve">and detailed terms of repayment of these finances are expected to be finalised in due course.  </t>
  </si>
  <si>
    <t>This represents the Bank's right to receive rupee counterpart of the foreign currency on the</t>
  </si>
  <si>
    <t>maturity of certain currency swap arrangements with commercial banks and non-banking</t>
  </si>
  <si>
    <t xml:space="preserve">rupee counterpart has been disclosed in note 27. </t>
  </si>
  <si>
    <t xml:space="preserve">DEFERRED LIABILITY - STAFF RETIREMENT </t>
  </si>
  <si>
    <t xml:space="preserve">  BENEFITS</t>
  </si>
  <si>
    <t>This represents appropriations made out of the annual profits of the Bank in accordance with the</t>
  </si>
  <si>
    <t xml:space="preserve">relating to events which are contingent and non-foreseeable. </t>
  </si>
  <si>
    <t>These represent appropriations made out of the surplus profits of the Bank for certain specified</t>
  </si>
  <si>
    <t xml:space="preserve">purposes in accordance with the provisions of the State Bank of Pakistan Act, 1956. </t>
  </si>
  <si>
    <t>The allocation of SDRs by the IMF has been reflected as part of equity and carried at historical</t>
  </si>
  <si>
    <t>cost in line with approved accounting policy prepared on the basis of IMF guidelines. Presently, a</t>
  </si>
  <si>
    <t>committee formed by IMF is evaluating whether SDR is debt or equity . However, no conclusion</t>
  </si>
  <si>
    <t>in this respect has yet been made. Had SDR Allocation been treated as financial liability as at 30</t>
  </si>
  <si>
    <t>SBP Banking Services Corporation, a wholly owned subsidiary of the Bank, carries out certain</t>
  </si>
  <si>
    <t>functions and activities principally relating to public dealing on behalf of the Bank and incurs</t>
  </si>
  <si>
    <t>administrative costs in this respect. Accordingly, under mutually agreed arrangements, all of the</t>
  </si>
  <si>
    <t>above costs have been reimbursed to or allocated by the Corporation while net profit of the</t>
  </si>
  <si>
    <t>the Bank. Similar treatment is also followed by the other subsidiary, National Institute of Banking</t>
  </si>
  <si>
    <t xml:space="preserve">and Finance (Guarantee) Limited, under arrangements mutually agreed with the Bank. </t>
  </si>
  <si>
    <t>INTEREST / MARK-UP RATE RISK</t>
  </si>
  <si>
    <t>Current account of National Institute of Banking and Finance (Guarantee) Limited</t>
  </si>
  <si>
    <t>Dividend paid to the Government of Pakistan</t>
  </si>
  <si>
    <t>confident that the Bank will not incur any liability on this account, as such no provision has been</t>
  </si>
  <si>
    <t>Interest / mark-up expense</t>
  </si>
  <si>
    <t>Draft / payment orders</t>
  </si>
  <si>
    <t>- Forward covers under Exchange Risk Coverage Scheme</t>
  </si>
  <si>
    <t xml:space="preserve">- Others </t>
  </si>
  <si>
    <t>Pakistan Railways special account</t>
  </si>
  <si>
    <t>7.</t>
  </si>
  <si>
    <t>8.</t>
  </si>
  <si>
    <t>9.</t>
  </si>
  <si>
    <t>11.</t>
  </si>
  <si>
    <t>10.</t>
  </si>
  <si>
    <t>Notes held with the Banking Department</t>
  </si>
  <si>
    <t>47.</t>
  </si>
  <si>
    <t>Furniture and fixtures</t>
  </si>
  <si>
    <t>Foreign currency</t>
  </si>
  <si>
    <t>Other Government securities</t>
  </si>
  <si>
    <t xml:space="preserve">Foreign currency deposits </t>
  </si>
  <si>
    <t>19.1</t>
  </si>
  <si>
    <t>Gold purchased</t>
  </si>
  <si>
    <t>Amortisation during the year</t>
  </si>
  <si>
    <t>Additions during the year</t>
  </si>
  <si>
    <t>Deposits</t>
  </si>
  <si>
    <t xml:space="preserve">Depreciation </t>
  </si>
  <si>
    <t>Reserve tranche with the International Monetary Fund under quota arrangements</t>
  </si>
  <si>
    <t>after the approval of the Board. The mandates awarded to the managers require them to out</t>
  </si>
  <si>
    <t>form the benchmarks which are based on fixed income global aggregate indices. The</t>
  </si>
  <si>
    <t>benchmarks are customized to exclude certain securities, currencies, and maturities to bring it to</t>
  </si>
  <si>
    <t>an acceptable level of risk  and within the Bank's approved risk appetite. Managers are provided</t>
  </si>
  <si>
    <t>investment guidelines within which they have to generate excess returns over the benchmark.</t>
  </si>
  <si>
    <t xml:space="preserve">Such investment guidelines define acceptable level of risk by setting levels and permitting types </t>
  </si>
  <si>
    <t>of fixed income securities, duration, currencies, maximum issuer limits by issuer types and credit</t>
  </si>
  <si>
    <t>ratings, and other risk parameters. The volatility and quality of portfolio performance is managed</t>
  </si>
  <si>
    <t>through ex-ante and ex-post tracking error, and information ratio, which is part of the investment</t>
  </si>
  <si>
    <t>guidelines. Safe custody of the portfolio is provided through carefully  selected global custodians</t>
  </si>
  <si>
    <t>who are independent of the portfolio managers. The custodians also provide  valuation,</t>
  </si>
  <si>
    <t>been a significant or prolonged decline in the fair value below its cost. The determination of what</t>
  </si>
  <si>
    <t>is significant or prolonged requires judgment. In making this judgment, the Bank evaluates among</t>
  </si>
  <si>
    <t>other factors, the normal volatility in share price. In addition, impairment may be appropriate</t>
  </si>
  <si>
    <t xml:space="preserve">when there is evidence of deterioration in the financial health of the investes, industry and sector </t>
  </si>
  <si>
    <t>The Bank classifies non-derivative financial assets with fixed or determinable payments and</t>
  </si>
  <si>
    <t>fixed maturity as held-to-maturity. In making this judgment, the Bank evaluates its intention and</t>
  </si>
  <si>
    <t xml:space="preserve">ability to hold such investments to maturity. </t>
  </si>
  <si>
    <t>The key actuarial assumptions concerning the valuation of defined benefit plans and the sources</t>
  </si>
  <si>
    <t xml:space="preserve">carried at cost less permanent impairment in value if any. </t>
  </si>
  <si>
    <t>factors are considered. The amount of provision may require adjustment in case borrowers do not</t>
  </si>
  <si>
    <t>approximates their fair value, except strategic investments as mentioned in note 12.3.1which are</t>
  </si>
  <si>
    <t>12.5) per cent of HBL's total paid-up capital to the Aga Khan Fund for Economic Development</t>
  </si>
  <si>
    <t>The interest rate profile of the interest bearing deposits is as follows:</t>
  </si>
  <si>
    <t>loans, advances and other assets</t>
  </si>
  <si>
    <t>other doubtful assets</t>
  </si>
  <si>
    <t>Provision for other doubtful assets</t>
  </si>
  <si>
    <t>- loans, advances and other assets</t>
  </si>
  <si>
    <t>- other doubtful assets</t>
  </si>
  <si>
    <t>45.</t>
  </si>
  <si>
    <t>Local currency</t>
  </si>
  <si>
    <t>Reserve Fund</t>
  </si>
  <si>
    <t>16.</t>
  </si>
  <si>
    <t>Net content in troy ounces</t>
  </si>
  <si>
    <t>Opening balance</t>
  </si>
  <si>
    <t>Total</t>
  </si>
  <si>
    <t>Gold reserves</t>
  </si>
  <si>
    <t>Sterling securities</t>
  </si>
  <si>
    <t>Government of India securities</t>
  </si>
  <si>
    <t>Notes in circulation</t>
  </si>
  <si>
    <t xml:space="preserve"> </t>
  </si>
  <si>
    <t>Market Treasury Bills</t>
  </si>
  <si>
    <t>Special Government Bonds</t>
  </si>
  <si>
    <t>Closing balance</t>
  </si>
  <si>
    <t>Commercial papers held in Bangladesh (former East Pakistan)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</si>
</sst>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s&quot;* #,##0_ ;_ &quot;Rs&quot;* \-#,##0_ ;_ &quot;Rs&quot;* &quot;-&quot;_ ;_ @_ "/>
    <numFmt numFmtId="165" formatCode="_ * #,##0_ ;_ * \-#,##0_ ;_ * &quot;-&quot;_ ;_ @_ "/>
    <numFmt numFmtId="166" formatCode="_ &quot;Rs&quot;* #,##0.00_ ;_ &quot;Rs&quot;* \-#,##0.00_ ;_ &quot;Rs&quot;* &quot;-&quot;??_ ;_ @_ "/>
    <numFmt numFmtId="167" formatCode="_ * #,##0.00_ ;_ * \-#,##0.00_ ;_ * &quot;-&quot;??_ ;_ @_ "/>
    <numFmt numFmtId="168" formatCode="_(* #,##0_);_(* \(#,##0\);_(* &quot;-&quot;??_);_(@_)"/>
    <numFmt numFmtId="169" formatCode="_ * #,##0.0_ ;_ * \-#,##0.0_ ;_ * &quot;-&quot;??_ ;_ @_ "/>
    <numFmt numFmtId="170" formatCode="_ * #,##0_ ;_ * \-#,##0_ ;_ * &quot;-&quot;??_ ;_ @_ "/>
    <numFmt numFmtId="171" formatCode="_(* #,##0.0_);_(* \(#,##0.0\);_(* &quot;-&quot;?_);_(@_)"/>
    <numFmt numFmtId="172" formatCode="0_);\(0\)"/>
    <numFmt numFmtId="173" formatCode="_ * #,##0.000_ ;_ * \-#,##0.000_ ;_ * &quot;-&quot;??_ ;_ @_ "/>
    <numFmt numFmtId="174" formatCode="_ * #,##0.0000_ ;_ * \-#,##0.0000_ ;_ * &quot;-&quot;??_ ;_ @_ 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  <numFmt numFmtId="180" formatCode="_(* #,##0.00000_);_(* \(#,##0.00000\);_(* &quot;-&quot;_);_(@_)"/>
    <numFmt numFmtId="181" formatCode="_(* #,##0.000000_);_(* \(#,##0.000000\);_(* &quot;-&quot;_);_(@_)"/>
    <numFmt numFmtId="182" formatCode="_(* #,##0.0000000_);_(* \(#,##0.0000000\);_(* &quot;-&quot;_);_(@_)"/>
    <numFmt numFmtId="183" formatCode="_(* #,##0.00000000_);_(* \(#,##0.00000000\);_(* &quot;-&quot;_);_(@_)"/>
    <numFmt numFmtId="184" formatCode="_ * #,##0.00000_ ;_ * \-#,##0.00000_ ;_ * &quot;-&quot;??_ ;_ @_ "/>
    <numFmt numFmtId="185" formatCode="_ * #,##0.000000_ ;_ * \-#,##0.000000_ ;_ * &quot;-&quot;??_ ;_ @_ "/>
    <numFmt numFmtId="186" formatCode="_ * #,##0.0000000_ ;_ * \-#,##0.0000000_ ;_ * &quot;-&quot;??_ ;_ @_ "/>
    <numFmt numFmtId="187" formatCode="_ * #,##0.00000000_ ;_ * \-#,##0.00000000_ ;_ * &quot;-&quot;??_ ;_ @_ "/>
    <numFmt numFmtId="188" formatCode="_ * #,##0.000000000_ ;_ * \-#,##0.000000000_ ;_ * &quot;-&quot;??_ ;_ @_ "/>
    <numFmt numFmtId="189" formatCode="_ * #,##0.0000000000_ ;_ * \-#,##0.0000000000_ ;_ * &quot;-&quot;??_ ;_ @_ "/>
    <numFmt numFmtId="190" formatCode="_ * #,##0.00000000000_ ;_ * \-#,##0.00000000000_ ;_ * &quot;-&quot;??_ ;_ @_ "/>
    <numFmt numFmtId="191" formatCode="_ * #,##0.000000000000_ ;_ * \-#,##0.000000000000_ ;_ * &quot;-&quot;??_ ;_ @_ "/>
    <numFmt numFmtId="192" formatCode="_ * #,##0.0000000000000_ ;_ * \-#,##0.0000000000000_ ;_ * &quot;-&quot;??_ ;_ @_ "/>
    <numFmt numFmtId="193" formatCode="_ * #,##0.00000000000000_ ;_ * \-#,##0.00000000000000_ ;_ * &quot;-&quot;??_ ;_ @_ "/>
    <numFmt numFmtId="194" formatCode="_ * #,##0.000000000000000_ ;_ * \-#,##0.000000000000000_ ;_ * &quot;-&quot;??_ ;_ @_ "/>
    <numFmt numFmtId="195" formatCode="_ * #,##0.0000000000000000_ ;_ * \-#,##0.0000000000000000_ ;_ * &quot;-&quot;??_ ;_ @_ "/>
    <numFmt numFmtId="196" formatCode="0.0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0.000"/>
    <numFmt numFmtId="206" formatCode="_(* #,##0.0000_);_(* \(#,##0.0000\);_(* &quot;-&quot;????_);_(@_)"/>
    <numFmt numFmtId="207" formatCode="_(* #,##0.000_);_(* \(#,##0.000\);_(* &quot;-&quot;???_);_(@_)"/>
    <numFmt numFmtId="208" formatCode="[$€-2]\ #,##0.00_);[Red]\([$€-2]\ #,##0.00\)"/>
    <numFmt numFmtId="209" formatCode="[$-409]dddd\,\ mmmm\ dd\,\ yyyy"/>
    <numFmt numFmtId="210" formatCode="#,##0.0"/>
    <numFmt numFmtId="211" formatCode="_(* #,##0_);_(* \(##,##0\);_(* &quot;-&quot;_);_(@_)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b/>
      <i/>
      <u val="singleAccounting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7" fillId="0" borderId="0" xfId="15" applyNumberFormat="1" applyFont="1" applyFill="1" applyAlignment="1">
      <alignment/>
    </xf>
    <xf numFmtId="168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170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70" fontId="7" fillId="0" borderId="0" xfId="15" applyNumberFormat="1" applyFont="1" applyFill="1" applyBorder="1" applyAlignment="1">
      <alignment horizontal="right"/>
    </xf>
    <xf numFmtId="170" fontId="7" fillId="0" borderId="0" xfId="15" applyNumberFormat="1" applyFont="1" applyFill="1" applyAlignment="1">
      <alignment horizontal="right"/>
    </xf>
    <xf numFmtId="0" fontId="7" fillId="0" borderId="0" xfId="0" applyFont="1" applyFill="1" applyAlignment="1" quotePrefix="1">
      <alignment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8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Fill="1" applyAlignment="1" quotePrefix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7" fillId="0" borderId="0" xfId="15" applyNumberFormat="1" applyFont="1" applyFill="1" applyAlignment="1">
      <alignment horizontal="center"/>
    </xf>
    <xf numFmtId="170" fontId="7" fillId="0" borderId="0" xfId="15" applyNumberFormat="1" applyFont="1" applyFill="1" applyAlignment="1">
      <alignment horizontal="center"/>
    </xf>
    <xf numFmtId="41" fontId="7" fillId="0" borderId="0" xfId="15" applyNumberFormat="1" applyFont="1" applyFill="1" applyBorder="1" applyAlignment="1">
      <alignment horizontal="center"/>
    </xf>
    <xf numFmtId="170" fontId="7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right"/>
    </xf>
    <xf numFmtId="170" fontId="7" fillId="0" borderId="0" xfId="15" applyNumberFormat="1" applyFont="1" applyFill="1" applyBorder="1" applyAlignment="1">
      <alignment horizontal="center"/>
    </xf>
    <xf numFmtId="41" fontId="7" fillId="0" borderId="1" xfId="15" applyNumberFormat="1" applyFont="1" applyFill="1" applyBorder="1" applyAlignment="1">
      <alignment horizontal="center"/>
    </xf>
    <xf numFmtId="0" fontId="12" fillId="0" borderId="0" xfId="0" applyFont="1" applyFill="1" applyAlignment="1" quotePrefix="1">
      <alignment horizontal="center"/>
    </xf>
    <xf numFmtId="41" fontId="7" fillId="0" borderId="0" xfId="15" applyNumberFormat="1" applyFont="1" applyFill="1" applyBorder="1" applyAlignment="1" quotePrefix="1">
      <alignment horizontal="center"/>
    </xf>
    <xf numFmtId="41" fontId="7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8" fillId="0" borderId="0" xfId="15" applyNumberFormat="1" applyFont="1" applyFill="1" applyAlignment="1">
      <alignment horizontal="center"/>
    </xf>
    <xf numFmtId="41" fontId="7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 quotePrefix="1">
      <alignment horizontal="center"/>
    </xf>
    <xf numFmtId="168" fontId="7" fillId="0" borderId="0" xfId="15" applyNumberFormat="1" applyFont="1" applyFill="1" applyAlignment="1">
      <alignment horizontal="center"/>
    </xf>
    <xf numFmtId="168" fontId="7" fillId="0" borderId="2" xfId="15" applyNumberFormat="1" applyFon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41" fontId="7" fillId="0" borderId="0" xfId="0" applyNumberFormat="1" applyFont="1" applyFill="1" applyAlignment="1" quotePrefix="1">
      <alignment horizontal="center"/>
    </xf>
    <xf numFmtId="41" fontId="8" fillId="0" borderId="0" xfId="15" applyNumberFormat="1" applyFont="1" applyFill="1" applyAlignment="1">
      <alignment horizontal="center"/>
    </xf>
    <xf numFmtId="41" fontId="8" fillId="0" borderId="0" xfId="15" applyNumberFormat="1" applyFont="1" applyFill="1" applyBorder="1" applyAlignment="1">
      <alignment horizontal="center"/>
    </xf>
    <xf numFmtId="41" fontId="8" fillId="0" borderId="2" xfId="15" applyNumberFormat="1" applyFont="1" applyFill="1" applyBorder="1" applyAlignment="1">
      <alignment horizontal="center"/>
    </xf>
    <xf numFmtId="170" fontId="8" fillId="0" borderId="0" xfId="15" applyNumberFormat="1" applyFont="1" applyFill="1" applyAlignment="1">
      <alignment/>
    </xf>
    <xf numFmtId="170" fontId="8" fillId="0" borderId="0" xfId="15" applyNumberFormat="1" applyFont="1" applyFill="1" applyBorder="1" applyAlignment="1">
      <alignment horizontal="center"/>
    </xf>
    <xf numFmtId="168" fontId="8" fillId="0" borderId="0" xfId="15" applyNumberFormat="1" applyFont="1" applyFill="1" applyAlignment="1">
      <alignment horizontal="center"/>
    </xf>
    <xf numFmtId="170" fontId="7" fillId="0" borderId="0" xfId="15" applyNumberFormat="1" applyFont="1" applyFill="1" applyAlignment="1">
      <alignment/>
    </xf>
    <xf numFmtId="168" fontId="7" fillId="0" borderId="0" xfId="15" applyNumberFormat="1" applyFont="1" applyFill="1" applyAlignment="1">
      <alignment/>
    </xf>
    <xf numFmtId="168" fontId="8" fillId="0" borderId="0" xfId="15" applyNumberFormat="1" applyFont="1" applyFill="1" applyAlignment="1">
      <alignment/>
    </xf>
    <xf numFmtId="168" fontId="7" fillId="0" borderId="0" xfId="15" applyNumberFormat="1" applyFont="1" applyFill="1" applyBorder="1" applyAlignment="1">
      <alignment/>
    </xf>
    <xf numFmtId="170" fontId="8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 quotePrefix="1">
      <alignment horizontal="left"/>
    </xf>
    <xf numFmtId="41" fontId="8" fillId="0" borderId="0" xfId="15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center"/>
    </xf>
    <xf numFmtId="41" fontId="7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 vertical="top"/>
    </xf>
    <xf numFmtId="0" fontId="7" fillId="0" borderId="0" xfId="0" applyFont="1" applyFill="1" applyAlignment="1">
      <alignment horizontal="justify" vertical="top"/>
    </xf>
    <xf numFmtId="0" fontId="8" fillId="0" borderId="0" xfId="0" applyFont="1" applyFill="1" applyAlignment="1" quotePrefix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 quotePrefix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170" fontId="12" fillId="0" borderId="0" xfId="15" applyNumberFormat="1" applyFont="1" applyFill="1" applyAlignment="1">
      <alignment horizontal="center"/>
    </xf>
    <xf numFmtId="170" fontId="12" fillId="0" borderId="0" xfId="15" applyNumberFormat="1" applyFont="1" applyFill="1" applyAlignment="1" quotePrefix="1">
      <alignment horizontal="center"/>
    </xf>
    <xf numFmtId="170" fontId="7" fillId="0" borderId="3" xfId="15" applyNumberFormat="1" applyFont="1" applyFill="1" applyBorder="1" applyAlignment="1">
      <alignment/>
    </xf>
    <xf numFmtId="170" fontId="7" fillId="0" borderId="4" xfId="15" applyNumberFormat="1" applyFont="1" applyFill="1" applyBorder="1" applyAlignment="1">
      <alignment/>
    </xf>
    <xf numFmtId="0" fontId="12" fillId="0" borderId="0" xfId="0" applyFont="1" applyFill="1" applyAlignment="1">
      <alignment horizontal="center" vertical="top"/>
    </xf>
    <xf numFmtId="0" fontId="7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8" fillId="0" borderId="0" xfId="0" applyFont="1" applyFill="1" applyAlignment="1" quotePrefix="1">
      <alignment horizontal="justify" vertical="top" wrapText="1"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168" fontId="12" fillId="0" borderId="0" xfId="15" applyNumberFormat="1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41" fontId="8" fillId="0" borderId="0" xfId="15" applyNumberFormat="1" applyFont="1" applyFill="1" applyBorder="1" applyAlignment="1">
      <alignment horizontal="right"/>
    </xf>
    <xf numFmtId="41" fontId="8" fillId="0" borderId="1" xfId="15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17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quotePrefix="1">
      <alignment/>
    </xf>
    <xf numFmtId="168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 quotePrefix="1">
      <alignment vertical="top" wrapText="1"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 quotePrefix="1">
      <alignment/>
    </xf>
    <xf numFmtId="170" fontId="8" fillId="0" borderId="0" xfId="0" applyNumberFormat="1" applyFont="1" applyFill="1" applyAlignment="1">
      <alignment horizontal="center"/>
    </xf>
    <xf numFmtId="170" fontId="7" fillId="0" borderId="0" xfId="0" applyNumberFormat="1" applyFont="1" applyFill="1" applyBorder="1" applyAlignment="1" quotePrefix="1">
      <alignment horizontal="center"/>
    </xf>
    <xf numFmtId="170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 vertical="top"/>
    </xf>
    <xf numFmtId="170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quotePrefix="1">
      <alignment horizontal="center"/>
    </xf>
    <xf numFmtId="41" fontId="7" fillId="0" borderId="0" xfId="15" applyNumberFormat="1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49" fontId="12" fillId="0" borderId="0" xfId="15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2" fontId="7" fillId="0" borderId="0" xfId="15" applyNumberFormat="1" applyFont="1" applyFill="1" applyBorder="1" applyAlignment="1">
      <alignment horizontal="center"/>
    </xf>
    <xf numFmtId="2" fontId="8" fillId="0" borderId="0" xfId="15" applyNumberFormat="1" applyFont="1" applyFill="1" applyAlignment="1">
      <alignment/>
    </xf>
    <xf numFmtId="2" fontId="7" fillId="0" borderId="0" xfId="15" applyNumberFormat="1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quotePrefix="1">
      <alignment vertical="top"/>
    </xf>
    <xf numFmtId="0" fontId="7" fillId="0" borderId="0" xfId="15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15" applyNumberFormat="1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 horizontal="center"/>
    </xf>
    <xf numFmtId="41" fontId="8" fillId="0" borderId="6" xfId="15" applyNumberFormat="1" applyFont="1" applyFill="1" applyBorder="1" applyAlignment="1">
      <alignment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Alignment="1">
      <alignment vertical="top"/>
    </xf>
    <xf numFmtId="41" fontId="8" fillId="0" borderId="1" xfId="15" applyNumberFormat="1" applyFont="1" applyFill="1" applyBorder="1" applyAlignment="1">
      <alignment vertical="top"/>
    </xf>
    <xf numFmtId="41" fontId="8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1" xfId="15" applyNumberFormat="1" applyFont="1" applyFill="1" applyBorder="1" applyAlignment="1">
      <alignment vertical="top"/>
    </xf>
    <xf numFmtId="41" fontId="8" fillId="0" borderId="0" xfId="15" applyNumberFormat="1" applyFont="1" applyFill="1" applyBorder="1" applyAlignment="1">
      <alignment/>
    </xf>
    <xf numFmtId="41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Alignment="1" quotePrefix="1">
      <alignment horizontal="center"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15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6" xfId="15" applyNumberFormat="1" applyFont="1" applyFill="1" applyBorder="1" applyAlignment="1">
      <alignment horizontal="right"/>
    </xf>
    <xf numFmtId="41" fontId="7" fillId="0" borderId="0" xfId="15" applyNumberFormat="1" applyFont="1" applyFill="1" applyBorder="1" applyAlignment="1" quotePrefix="1">
      <alignment horizontal="right"/>
    </xf>
    <xf numFmtId="0" fontId="7" fillId="0" borderId="7" xfId="0" applyFont="1" applyFill="1" applyBorder="1" applyAlignment="1">
      <alignment/>
    </xf>
    <xf numFmtId="170" fontId="7" fillId="0" borderId="2" xfId="15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center" wrapText="1"/>
    </xf>
    <xf numFmtId="41" fontId="7" fillId="0" borderId="0" xfId="0" applyNumberFormat="1" applyFont="1" applyFill="1" applyAlignment="1">
      <alignment horizontal="justify" vertical="top" wrapText="1"/>
    </xf>
    <xf numFmtId="41" fontId="7" fillId="0" borderId="0" xfId="0" applyNumberFormat="1" applyFont="1" applyFill="1" applyAlignment="1">
      <alignment vertical="top"/>
    </xf>
    <xf numFmtId="49" fontId="12" fillId="0" borderId="0" xfId="15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top"/>
    </xf>
    <xf numFmtId="0" fontId="7" fillId="0" borderId="0" xfId="0" applyFont="1" applyFill="1" applyAlignment="1" quotePrefix="1">
      <alignment vertical="top"/>
    </xf>
    <xf numFmtId="0" fontId="7" fillId="0" borderId="0" xfId="0" applyFont="1" applyFill="1" applyBorder="1" applyAlignment="1">
      <alignment vertical="justify"/>
    </xf>
    <xf numFmtId="0" fontId="8" fillId="0" borderId="0" xfId="15" applyNumberFormat="1" applyFont="1" applyFill="1" applyAlignment="1" quotePrefix="1">
      <alignment/>
    </xf>
    <xf numFmtId="0" fontId="8" fillId="0" borderId="0" xfId="15" applyNumberFormat="1" applyFont="1" applyFill="1" applyAlignment="1">
      <alignment/>
    </xf>
    <xf numFmtId="170" fontId="8" fillId="0" borderId="2" xfId="15" applyNumberFormat="1" applyFont="1" applyFill="1" applyBorder="1" applyAlignment="1">
      <alignment horizontal="center" vertical="top" wrapText="1"/>
    </xf>
    <xf numFmtId="170" fontId="8" fillId="0" borderId="0" xfId="15" applyNumberFormat="1" applyFont="1" applyFill="1" applyBorder="1" applyAlignment="1">
      <alignment/>
    </xf>
    <xf numFmtId="0" fontId="8" fillId="0" borderId="8" xfId="15" applyNumberFormat="1" applyFont="1" applyFill="1" applyBorder="1" applyAlignment="1">
      <alignment horizontal="center" vertical="top"/>
    </xf>
    <xf numFmtId="170" fontId="8" fillId="0" borderId="8" xfId="15" applyNumberFormat="1" applyFont="1" applyFill="1" applyBorder="1" applyAlignment="1">
      <alignment horizontal="center" vertical="top" wrapText="1"/>
    </xf>
    <xf numFmtId="0" fontId="8" fillId="0" borderId="0" xfId="15" applyNumberFormat="1" applyFont="1" applyFill="1" applyBorder="1" applyAlignment="1">
      <alignment horizontal="center" vertical="top"/>
    </xf>
    <xf numFmtId="170" fontId="8" fillId="0" borderId="0" xfId="15" applyNumberFormat="1" applyFont="1" applyFill="1" applyBorder="1" applyAlignment="1">
      <alignment horizontal="center" vertical="top" wrapText="1"/>
    </xf>
    <xf numFmtId="0" fontId="8" fillId="0" borderId="2" xfId="15" applyNumberFormat="1" applyFont="1" applyFill="1" applyBorder="1" applyAlignment="1">
      <alignment horizontal="center" vertical="top"/>
    </xf>
    <xf numFmtId="0" fontId="7" fillId="0" borderId="0" xfId="15" applyNumberFormat="1" applyFont="1" applyFill="1" applyAlignment="1">
      <alignment/>
    </xf>
    <xf numFmtId="170" fontId="7" fillId="0" borderId="0" xfId="15" applyNumberFormat="1" applyFont="1" applyFill="1" applyAlignment="1" quotePrefix="1">
      <alignment horizontal="center"/>
    </xf>
    <xf numFmtId="170" fontId="7" fillId="0" borderId="0" xfId="15" applyNumberFormat="1" applyFont="1" applyFill="1" applyAlignment="1" quotePrefix="1">
      <alignment/>
    </xf>
    <xf numFmtId="0" fontId="8" fillId="0" borderId="0" xfId="15" applyNumberFormat="1" applyFont="1" applyFill="1" applyAlignment="1" quotePrefix="1">
      <alignment horizontal="left"/>
    </xf>
    <xf numFmtId="0" fontId="7" fillId="0" borderId="0" xfId="15" applyNumberFormat="1" applyFont="1" applyFill="1" applyAlignment="1">
      <alignment horizontal="justify" vertical="top" wrapText="1"/>
    </xf>
    <xf numFmtId="0" fontId="7" fillId="0" borderId="0" xfId="0" applyNumberFormat="1" applyFont="1" applyFill="1" applyAlignment="1">
      <alignment horizontal="justify" vertical="top" wrapText="1"/>
    </xf>
    <xf numFmtId="170" fontId="7" fillId="0" borderId="0" xfId="15" applyNumberFormat="1" applyFont="1" applyFill="1" applyAlignment="1">
      <alignment horizontal="justify" vertical="top"/>
    </xf>
    <xf numFmtId="0" fontId="7" fillId="0" borderId="0" xfId="0" applyFont="1" applyFill="1" applyAlignment="1">
      <alignment horizontal="justify"/>
    </xf>
    <xf numFmtId="41" fontId="12" fillId="0" borderId="0" xfId="0" applyNumberFormat="1" applyFont="1" applyFill="1" applyAlignment="1">
      <alignment horizontal="center"/>
    </xf>
    <xf numFmtId="168" fontId="7" fillId="0" borderId="0" xfId="15" applyNumberFormat="1" applyFont="1" applyFill="1" applyBorder="1" applyAlignment="1">
      <alignment horizontal="right"/>
    </xf>
    <xf numFmtId="0" fontId="7" fillId="0" borderId="0" xfId="0" applyFont="1" applyFill="1" applyAlignment="1">
      <alignment horizontal="justify" vertical="justify"/>
    </xf>
    <xf numFmtId="0" fontId="8" fillId="0" borderId="0" xfId="0" applyFont="1" applyFill="1" applyBorder="1" applyAlignment="1">
      <alignment horizontal="center" vertical="top"/>
    </xf>
    <xf numFmtId="41" fontId="8" fillId="0" borderId="0" xfId="0" applyNumberFormat="1" applyFont="1" applyFill="1" applyAlignment="1">
      <alignment horizontal="center" vertical="center" wrapText="1"/>
    </xf>
    <xf numFmtId="41" fontId="3" fillId="0" borderId="0" xfId="15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1" fontId="3" fillId="0" borderId="0" xfId="15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8" fillId="0" borderId="2" xfId="0" applyFont="1" applyFill="1" applyBorder="1" applyAlignment="1">
      <alignment horizontal="center" vertical="top"/>
    </xf>
    <xf numFmtId="170" fontId="12" fillId="0" borderId="0" xfId="0" applyNumberFormat="1" applyFont="1" applyFill="1" applyAlignment="1">
      <alignment horizontal="center"/>
    </xf>
    <xf numFmtId="41" fontId="7" fillId="0" borderId="0" xfId="15" applyNumberFormat="1" applyFont="1" applyFill="1" applyAlignment="1">
      <alignment horizontal="justify"/>
    </xf>
    <xf numFmtId="0" fontId="8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1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 quotePrefix="1">
      <alignment horizontal="center" vertical="top"/>
    </xf>
    <xf numFmtId="0" fontId="7" fillId="0" borderId="0" xfId="0" applyFont="1" applyFill="1" applyAlignment="1" quotePrefix="1">
      <alignment horizontal="center" vertical="top"/>
    </xf>
    <xf numFmtId="43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top"/>
    </xf>
    <xf numFmtId="0" fontId="8" fillId="0" borderId="2" xfId="0" applyFont="1" applyFill="1" applyBorder="1" applyAlignment="1" quotePrefix="1">
      <alignment horizontal="center" vertical="top"/>
    </xf>
    <xf numFmtId="0" fontId="8" fillId="0" borderId="0" xfId="0" applyNumberFormat="1" applyFont="1" applyFill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top" wrapText="1"/>
    </xf>
    <xf numFmtId="170" fontId="8" fillId="0" borderId="0" xfId="0" applyNumberFormat="1" applyFont="1" applyFill="1" applyBorder="1" applyAlignment="1">
      <alignment horizontal="center" vertical="top"/>
    </xf>
    <xf numFmtId="170" fontId="8" fillId="0" borderId="0" xfId="0" applyNumberFormat="1" applyFont="1" applyFill="1" applyBorder="1" applyAlignment="1" quotePrefix="1">
      <alignment horizontal="center" vertical="top" wrapText="1"/>
    </xf>
    <xf numFmtId="196" fontId="12" fillId="0" borderId="0" xfId="0" applyNumberFormat="1" applyFont="1" applyFill="1" applyBorder="1" applyAlignment="1" quotePrefix="1">
      <alignment horizontal="right"/>
    </xf>
    <xf numFmtId="4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15" applyNumberFormat="1" applyFont="1" applyFill="1" applyAlignment="1">
      <alignment vertical="center"/>
    </xf>
    <xf numFmtId="170" fontId="8" fillId="0" borderId="0" xfId="0" applyNumberFormat="1" applyFont="1" applyFill="1" applyBorder="1" applyAlignment="1" quotePrefix="1">
      <alignment horizontal="center" vertical="top"/>
    </xf>
    <xf numFmtId="167" fontId="7" fillId="0" borderId="0" xfId="15" applyFont="1" applyFill="1" applyBorder="1" applyAlignment="1">
      <alignment horizontal="center"/>
    </xf>
    <xf numFmtId="41" fontId="8" fillId="0" borderId="6" xfId="15" applyNumberFormat="1" applyFont="1" applyFill="1" applyBorder="1" applyAlignment="1">
      <alignment horizontal="center"/>
    </xf>
    <xf numFmtId="41" fontId="7" fillId="0" borderId="6" xfId="15" applyNumberFormat="1" applyFont="1" applyFill="1" applyBorder="1" applyAlignment="1">
      <alignment horizontal="center"/>
    </xf>
    <xf numFmtId="41" fontId="8" fillId="0" borderId="12" xfId="15" applyNumberFormat="1" applyFont="1" applyFill="1" applyBorder="1" applyAlignment="1">
      <alignment horizontal="center"/>
    </xf>
    <xf numFmtId="41" fontId="7" fillId="0" borderId="2" xfId="15" applyNumberFormat="1" applyFont="1" applyFill="1" applyBorder="1" applyAlignment="1">
      <alignment horizontal="center"/>
    </xf>
    <xf numFmtId="41" fontId="8" fillId="0" borderId="2" xfId="15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 horizontal="center"/>
    </xf>
    <xf numFmtId="168" fontId="7" fillId="0" borderId="1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 vertical="top"/>
    </xf>
    <xf numFmtId="168" fontId="7" fillId="0" borderId="1" xfId="15" applyNumberFormat="1" applyFont="1" applyFill="1" applyBorder="1" applyAlignment="1">
      <alignment vertical="top"/>
    </xf>
    <xf numFmtId="170" fontId="3" fillId="0" borderId="13" xfId="15" applyNumberFormat="1" applyFont="1" applyFill="1" applyBorder="1" applyAlignment="1">
      <alignment vertical="top"/>
    </xf>
    <xf numFmtId="170" fontId="3" fillId="0" borderId="0" xfId="15" applyNumberFormat="1" applyFont="1" applyFill="1" applyAlignment="1">
      <alignment vertical="top"/>
    </xf>
    <xf numFmtId="41" fontId="8" fillId="0" borderId="7" xfId="15" applyNumberFormat="1" applyFont="1" applyFill="1" applyBorder="1" applyAlignment="1">
      <alignment horizontal="center"/>
    </xf>
    <xf numFmtId="41" fontId="7" fillId="0" borderId="7" xfId="15" applyNumberFormat="1" applyFont="1" applyFill="1" applyBorder="1" applyAlignment="1">
      <alignment horizontal="center"/>
    </xf>
    <xf numFmtId="41" fontId="8" fillId="0" borderId="14" xfId="15" applyNumberFormat="1" applyFont="1" applyFill="1" applyBorder="1" applyAlignment="1">
      <alignment horizontal="center"/>
    </xf>
    <xf numFmtId="41" fontId="7" fillId="0" borderId="14" xfId="15" applyNumberFormat="1" applyFont="1" applyFill="1" applyBorder="1" applyAlignment="1">
      <alignment horizontal="center"/>
    </xf>
    <xf numFmtId="41" fontId="8" fillId="0" borderId="14" xfId="15" applyNumberFormat="1" applyFont="1" applyFill="1" applyBorder="1" applyAlignment="1">
      <alignment/>
    </xf>
    <xf numFmtId="41" fontId="7" fillId="0" borderId="14" xfId="15" applyNumberFormat="1" applyFont="1" applyFill="1" applyBorder="1" applyAlignment="1">
      <alignment/>
    </xf>
    <xf numFmtId="41" fontId="8" fillId="0" borderId="12" xfId="15" applyNumberFormat="1" applyFont="1" applyFill="1" applyBorder="1" applyAlignment="1">
      <alignment horizontal="right"/>
    </xf>
    <xf numFmtId="41" fontId="7" fillId="0" borderId="12" xfId="15" applyNumberFormat="1" applyFont="1" applyFill="1" applyBorder="1" applyAlignment="1">
      <alignment horizontal="right"/>
    </xf>
    <xf numFmtId="41" fontId="8" fillId="0" borderId="13" xfId="15" applyNumberFormat="1" applyFont="1" applyFill="1" applyBorder="1" applyAlignment="1">
      <alignment horizontal="center"/>
    </xf>
    <xf numFmtId="41" fontId="7" fillId="0" borderId="13" xfId="15" applyNumberFormat="1" applyFont="1" applyFill="1" applyBorder="1" applyAlignment="1">
      <alignment horizontal="center"/>
    </xf>
    <xf numFmtId="41" fontId="7" fillId="0" borderId="1" xfId="15" applyNumberFormat="1" applyFont="1" applyFill="1" applyBorder="1" applyAlignment="1">
      <alignment horizontal="right"/>
    </xf>
    <xf numFmtId="2" fontId="8" fillId="0" borderId="0" xfId="22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170" fontId="7" fillId="0" borderId="1" xfId="15" applyNumberFormat="1" applyFont="1" applyFill="1" applyBorder="1" applyAlignment="1">
      <alignment horizontal="center"/>
    </xf>
    <xf numFmtId="41" fontId="8" fillId="0" borderId="1" xfId="15" applyNumberFormat="1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/>
    </xf>
    <xf numFmtId="41" fontId="8" fillId="0" borderId="12" xfId="15" applyNumberFormat="1" applyFont="1" applyFill="1" applyBorder="1" applyAlignment="1">
      <alignment/>
    </xf>
    <xf numFmtId="168" fontId="7" fillId="0" borderId="12" xfId="15" applyNumberFormat="1" applyFont="1" applyFill="1" applyBorder="1" applyAlignment="1">
      <alignment/>
    </xf>
    <xf numFmtId="41" fontId="8" fillId="0" borderId="6" xfId="15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/>
    </xf>
    <xf numFmtId="41" fontId="8" fillId="0" borderId="14" xfId="15" applyNumberFormat="1" applyFont="1" applyFill="1" applyBorder="1" applyAlignment="1">
      <alignment/>
    </xf>
    <xf numFmtId="168" fontId="7" fillId="0" borderId="14" xfId="15" applyNumberFormat="1" applyFont="1" applyFill="1" applyBorder="1" applyAlignment="1">
      <alignment/>
    </xf>
    <xf numFmtId="41" fontId="8" fillId="0" borderId="12" xfId="15" applyNumberFormat="1" applyFont="1" applyFill="1" applyBorder="1" applyAlignment="1">
      <alignment/>
    </xf>
    <xf numFmtId="168" fontId="7" fillId="0" borderId="12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168" fontId="7" fillId="0" borderId="1" xfId="15" applyNumberFormat="1" applyFont="1" applyFill="1" applyBorder="1" applyAlignment="1">
      <alignment/>
    </xf>
    <xf numFmtId="41" fontId="8" fillId="0" borderId="2" xfId="15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41" fontId="7" fillId="0" borderId="6" xfId="15" applyNumberFormat="1" applyFont="1" applyFill="1" applyBorder="1" applyAlignment="1">
      <alignment/>
    </xf>
    <xf numFmtId="41" fontId="7" fillId="0" borderId="14" xfId="15" applyNumberFormat="1" applyFont="1" applyFill="1" applyBorder="1" applyAlignment="1">
      <alignment/>
    </xf>
    <xf numFmtId="41" fontId="7" fillId="0" borderId="12" xfId="15" applyNumberFormat="1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41" fontId="7" fillId="0" borderId="12" xfId="15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top"/>
    </xf>
    <xf numFmtId="41" fontId="8" fillId="0" borderId="0" xfId="15" applyNumberFormat="1" applyFont="1" applyFill="1" applyAlignment="1" quotePrefix="1">
      <alignment/>
    </xf>
    <xf numFmtId="41" fontId="7" fillId="0" borderId="0" xfId="15" applyNumberFormat="1" applyFont="1" applyFill="1" applyAlignment="1" quotePrefix="1">
      <alignment/>
    </xf>
    <xf numFmtId="41" fontId="8" fillId="0" borderId="1" xfId="15" applyNumberFormat="1" applyFont="1" applyFill="1" applyBorder="1" applyAlignment="1" quotePrefix="1">
      <alignment/>
    </xf>
    <xf numFmtId="41" fontId="7" fillId="0" borderId="1" xfId="15" applyNumberFormat="1" applyFont="1" applyFill="1" applyBorder="1" applyAlignment="1" quotePrefix="1">
      <alignment/>
    </xf>
    <xf numFmtId="0" fontId="8" fillId="0" borderId="0" xfId="15" applyNumberFormat="1" applyFont="1" applyFill="1" applyAlignment="1">
      <alignment/>
    </xf>
    <xf numFmtId="0" fontId="8" fillId="0" borderId="0" xfId="15" applyNumberFormat="1" applyFont="1" applyFill="1" applyAlignment="1" quotePrefix="1">
      <alignment vertical="top"/>
    </xf>
    <xf numFmtId="0" fontId="8" fillId="0" borderId="0" xfId="15" applyNumberFormat="1" applyFont="1" applyFill="1" applyAlignment="1">
      <alignment vertical="top"/>
    </xf>
    <xf numFmtId="170" fontId="7" fillId="0" borderId="0" xfId="15" applyNumberFormat="1" applyFont="1" applyFill="1" applyAlignment="1">
      <alignment vertical="top"/>
    </xf>
    <xf numFmtId="0" fontId="8" fillId="0" borderId="0" xfId="15" applyNumberFormat="1" applyFont="1" applyFill="1" applyAlignment="1">
      <alignment horizontal="justify" vertical="top" wrapText="1"/>
    </xf>
    <xf numFmtId="0" fontId="7" fillId="0" borderId="0" xfId="15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/>
    </xf>
    <xf numFmtId="0" fontId="3" fillId="0" borderId="0" xfId="0" applyNumberFormat="1" applyFont="1" applyFill="1" applyAlignment="1">
      <alignment vertical="top"/>
    </xf>
    <xf numFmtId="41" fontId="4" fillId="0" borderId="0" xfId="15" applyNumberFormat="1" applyFont="1" applyFill="1" applyAlignment="1" quotePrefix="1">
      <alignment horizontal="center" vertical="top"/>
    </xf>
    <xf numFmtId="168" fontId="3" fillId="0" borderId="0" xfId="15" applyNumberFormat="1" applyFont="1" applyFill="1" applyAlignment="1">
      <alignment vertical="top"/>
    </xf>
    <xf numFmtId="168" fontId="3" fillId="0" borderId="0" xfId="15" applyNumberFormat="1" applyFont="1" applyFill="1" applyAlignment="1">
      <alignment horizontal="center" vertical="top"/>
    </xf>
    <xf numFmtId="168" fontId="3" fillId="0" borderId="0" xfId="15" applyNumberFormat="1" applyFont="1" applyFill="1" applyBorder="1" applyAlignment="1">
      <alignment vertical="top"/>
    </xf>
    <xf numFmtId="168" fontId="3" fillId="0" borderId="0" xfId="15" applyNumberFormat="1" applyFont="1" applyFill="1" applyBorder="1" applyAlignment="1">
      <alignment horizontal="center" vertical="top"/>
    </xf>
    <xf numFmtId="41" fontId="3" fillId="0" borderId="0" xfId="0" applyNumberFormat="1" applyFont="1" applyFill="1" applyAlignment="1" quotePrefix="1">
      <alignment horizontal="center" vertical="top"/>
    </xf>
    <xf numFmtId="0" fontId="3" fillId="0" borderId="0" xfId="0" applyFont="1" applyFill="1" applyAlignment="1" quotePrefix="1">
      <alignment horizontal="center" vertical="top"/>
    </xf>
    <xf numFmtId="9" fontId="3" fillId="0" borderId="0" xfId="22" applyFont="1" applyFill="1" applyAlignment="1" quotePrefix="1">
      <alignment horizontal="center" vertical="top"/>
    </xf>
    <xf numFmtId="9" fontId="3" fillId="0" borderId="0" xfId="22" applyFont="1" applyFill="1" applyAlignment="1">
      <alignment horizontal="center" vertical="top"/>
    </xf>
    <xf numFmtId="168" fontId="3" fillId="0" borderId="0" xfId="0" applyNumberFormat="1" applyFont="1" applyFill="1" applyAlignment="1">
      <alignment vertical="top"/>
    </xf>
    <xf numFmtId="0" fontId="3" fillId="0" borderId="0" xfId="22" applyNumberFormat="1" applyFont="1" applyFill="1" applyAlignment="1" quotePrefix="1">
      <alignment horizontal="center" vertical="top"/>
    </xf>
    <xf numFmtId="1" fontId="3" fillId="0" borderId="0" xfId="22" applyNumberFormat="1" applyFont="1" applyFill="1" applyAlignment="1">
      <alignment horizontal="center" vertical="top"/>
    </xf>
    <xf numFmtId="168" fontId="3" fillId="0" borderId="2" xfId="15" applyNumberFormat="1" applyFont="1" applyFill="1" applyBorder="1" applyAlignment="1">
      <alignment vertical="top"/>
    </xf>
    <xf numFmtId="9" fontId="3" fillId="0" borderId="0" xfId="22" applyFont="1" applyFill="1" applyBorder="1" applyAlignment="1" quotePrefix="1">
      <alignment horizontal="center" vertical="top"/>
    </xf>
    <xf numFmtId="0" fontId="4" fillId="0" borderId="0" xfId="0" applyNumberFormat="1" applyFont="1" applyFill="1" applyAlignment="1">
      <alignment vertical="top"/>
    </xf>
    <xf numFmtId="168" fontId="4" fillId="0" borderId="0" xfId="15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168" fontId="4" fillId="0" borderId="0" xfId="15" applyNumberFormat="1" applyFont="1" applyFill="1" applyBorder="1" applyAlignment="1">
      <alignment vertical="top"/>
    </xf>
    <xf numFmtId="168" fontId="4" fillId="0" borderId="0" xfId="15" applyNumberFormat="1" applyFont="1" applyFill="1" applyBorder="1" applyAlignment="1">
      <alignment horizontal="center" vertical="top"/>
    </xf>
    <xf numFmtId="168" fontId="4" fillId="0" borderId="13" xfId="15" applyNumberFormat="1" applyFont="1" applyFill="1" applyBorder="1" applyAlignment="1">
      <alignment vertical="top"/>
    </xf>
    <xf numFmtId="168" fontId="3" fillId="0" borderId="13" xfId="15" applyNumberFormat="1" applyFont="1" applyFill="1" applyBorder="1" applyAlignment="1">
      <alignment vertical="top"/>
    </xf>
    <xf numFmtId="168" fontId="3" fillId="0" borderId="0" xfId="0" applyNumberFormat="1" applyFont="1" applyFill="1" applyAlignment="1">
      <alignment horizontal="center" vertical="top"/>
    </xf>
    <xf numFmtId="170" fontId="3" fillId="0" borderId="0" xfId="15" applyNumberFormat="1" applyFont="1" applyFill="1" applyBorder="1" applyAlignment="1">
      <alignment vertical="top"/>
    </xf>
    <xf numFmtId="170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 quotePrefix="1">
      <alignment horizontal="justify" vertical="top"/>
    </xf>
    <xf numFmtId="0" fontId="7" fillId="0" borderId="0" xfId="0" applyFont="1" applyFill="1" applyBorder="1" applyAlignment="1" quotePrefix="1">
      <alignment/>
    </xf>
    <xf numFmtId="0" fontId="8" fillId="0" borderId="0" xfId="0" applyNumberFormat="1" applyFont="1" applyFill="1" applyAlignment="1" quotePrefix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quotePrefix="1">
      <alignment horizontal="center"/>
    </xf>
    <xf numFmtId="170" fontId="3" fillId="0" borderId="13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wrapText="1"/>
    </xf>
    <xf numFmtId="170" fontId="2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0" xfId="15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8" fillId="0" borderId="0" xfId="15" applyNumberFormat="1" applyFont="1" applyFill="1" applyBorder="1" applyAlignment="1" quotePrefix="1">
      <alignment horizontal="center"/>
    </xf>
    <xf numFmtId="37" fontId="3" fillId="0" borderId="13" xfId="15" applyNumberFormat="1" applyFont="1" applyFill="1" applyBorder="1" applyAlignment="1">
      <alignment vertical="top"/>
    </xf>
    <xf numFmtId="41" fontId="8" fillId="0" borderId="0" xfId="0" applyNumberFormat="1" applyFont="1" applyFill="1" applyBorder="1" applyAlignment="1">
      <alignment horizontal="center" vertical="top" wrapText="1"/>
    </xf>
    <xf numFmtId="49" fontId="8" fillId="0" borderId="0" xfId="15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41" fontId="8" fillId="0" borderId="13" xfId="15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 wrapText="1"/>
    </xf>
    <xf numFmtId="41" fontId="7" fillId="0" borderId="0" xfId="0" applyNumberFormat="1" applyFont="1" applyFill="1" applyBorder="1" applyAlignment="1">
      <alignment vertical="top"/>
    </xf>
    <xf numFmtId="1" fontId="7" fillId="0" borderId="0" xfId="15" applyNumberFormat="1" applyFont="1" applyFill="1" applyBorder="1" applyAlignment="1">
      <alignment horizontal="right"/>
    </xf>
    <xf numFmtId="41" fontId="7" fillId="0" borderId="14" xfId="15" applyNumberFormat="1" applyFont="1" applyFill="1" applyBorder="1" applyAlignment="1">
      <alignment horizontal="right"/>
    </xf>
    <xf numFmtId="41" fontId="8" fillId="0" borderId="13" xfId="15" applyNumberFormat="1" applyFont="1" applyFill="1" applyBorder="1" applyAlignment="1">
      <alignment/>
    </xf>
    <xf numFmtId="41" fontId="7" fillId="0" borderId="13" xfId="15" applyNumberFormat="1" applyFont="1" applyFill="1" applyBorder="1" applyAlignment="1">
      <alignment horizontal="right"/>
    </xf>
    <xf numFmtId="0" fontId="17" fillId="0" borderId="0" xfId="20" applyFont="1" applyFill="1" applyAlignment="1">
      <alignment horizontal="center"/>
    </xf>
    <xf numFmtId="168" fontId="7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center"/>
    </xf>
    <xf numFmtId="41" fontId="18" fillId="0" borderId="0" xfId="15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70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41" fontId="19" fillId="0" borderId="0" xfId="15" applyNumberFormat="1" applyFont="1" applyFill="1" applyAlignment="1">
      <alignment/>
    </xf>
    <xf numFmtId="170" fontId="20" fillId="0" borderId="0" xfId="15" applyNumberFormat="1" applyFont="1" applyFill="1" applyBorder="1" applyAlignment="1">
      <alignment/>
    </xf>
    <xf numFmtId="41" fontId="19" fillId="0" borderId="0" xfId="15" applyNumberFormat="1" applyFont="1" applyFill="1" applyAlignment="1">
      <alignment horizontal="center"/>
    </xf>
    <xf numFmtId="170" fontId="7" fillId="0" borderId="0" xfId="15" applyNumberFormat="1" applyFont="1" applyFill="1" applyBorder="1" applyAlignment="1">
      <alignment horizontal="center" vertical="top"/>
    </xf>
    <xf numFmtId="167" fontId="7" fillId="0" borderId="0" xfId="15" applyFont="1" applyFill="1" applyAlignment="1">
      <alignment vertical="top"/>
    </xf>
    <xf numFmtId="0" fontId="7" fillId="0" borderId="0" xfId="0" applyNumberFormat="1" applyFont="1" applyFill="1" applyAlignment="1">
      <alignment horizontal="right" vertical="top"/>
    </xf>
    <xf numFmtId="37" fontId="7" fillId="0" borderId="0" xfId="0" applyNumberFormat="1" applyFont="1" applyFill="1" applyAlignment="1">
      <alignment vertical="top"/>
    </xf>
    <xf numFmtId="170" fontId="3" fillId="0" borderId="13" xfId="15" applyNumberFormat="1" applyFont="1" applyFill="1" applyBorder="1" applyAlignment="1">
      <alignment horizontal="center" vertical="top"/>
    </xf>
    <xf numFmtId="170" fontId="3" fillId="0" borderId="0" xfId="15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 vertical="top" wrapText="1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21" applyFont="1">
      <alignment/>
      <protection/>
    </xf>
    <xf numFmtId="167" fontId="7" fillId="0" borderId="0" xfId="15" applyNumberFormat="1" applyFont="1" applyFill="1" applyBorder="1" applyAlignment="1" quotePrefix="1">
      <alignment horizontal="center"/>
    </xf>
    <xf numFmtId="0" fontId="8" fillId="0" borderId="0" xfId="0" applyFont="1" applyAlignment="1">
      <alignment/>
    </xf>
    <xf numFmtId="41" fontId="7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37" fontId="3" fillId="0" borderId="0" xfId="0" applyNumberFormat="1" applyFont="1" applyFill="1" applyBorder="1" applyAlignment="1">
      <alignment vertical="top"/>
    </xf>
    <xf numFmtId="168" fontId="3" fillId="0" borderId="2" xfId="15" applyNumberFormat="1" applyFont="1" applyFill="1" applyBorder="1" applyAlignment="1">
      <alignment horizontal="center" vertical="top"/>
    </xf>
    <xf numFmtId="170" fontId="3" fillId="0" borderId="2" xfId="15" applyNumberFormat="1" applyFont="1" applyFill="1" applyBorder="1" applyAlignment="1">
      <alignment horizontal="center" vertical="top"/>
    </xf>
    <xf numFmtId="37" fontId="3" fillId="0" borderId="0" xfId="15" applyNumberFormat="1" applyFont="1" applyFill="1" applyBorder="1" applyAlignment="1">
      <alignment horizontal="right" vertical="top"/>
    </xf>
    <xf numFmtId="168" fontId="3" fillId="0" borderId="13" xfId="15" applyNumberFormat="1" applyFont="1" applyFill="1" applyBorder="1" applyAlignment="1">
      <alignment horizontal="center" vertical="top"/>
    </xf>
    <xf numFmtId="167" fontId="3" fillId="0" borderId="0" xfId="15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 quotePrefix="1">
      <alignment horizontal="center"/>
    </xf>
    <xf numFmtId="41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168" fontId="8" fillId="0" borderId="1" xfId="15" applyNumberFormat="1" applyFont="1" applyFill="1" applyBorder="1" applyAlignment="1">
      <alignment/>
    </xf>
    <xf numFmtId="168" fontId="7" fillId="0" borderId="15" xfId="15" applyNumberFormat="1" applyFont="1" applyFill="1" applyBorder="1" applyAlignment="1">
      <alignment/>
    </xf>
    <xf numFmtId="168" fontId="8" fillId="0" borderId="0" xfId="15" applyNumberFormat="1" applyFont="1" applyFill="1" applyAlignment="1">
      <alignment vertical="top"/>
    </xf>
    <xf numFmtId="41" fontId="8" fillId="0" borderId="6" xfId="0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 vertical="top"/>
    </xf>
    <xf numFmtId="41" fontId="8" fillId="0" borderId="14" xfId="0" applyNumberFormat="1" applyFont="1" applyFill="1" applyBorder="1" applyAlignment="1">
      <alignment/>
    </xf>
    <xf numFmtId="168" fontId="7" fillId="0" borderId="14" xfId="15" applyNumberFormat="1" applyFont="1" applyFill="1" applyBorder="1" applyAlignment="1">
      <alignment vertical="top"/>
    </xf>
    <xf numFmtId="41" fontId="8" fillId="0" borderId="12" xfId="0" applyNumberFormat="1" applyFont="1" applyFill="1" applyBorder="1" applyAlignment="1">
      <alignment/>
    </xf>
    <xf numFmtId="168" fontId="7" fillId="0" borderId="12" xfId="15" applyNumberFormat="1" applyFont="1" applyFill="1" applyBorder="1" applyAlignment="1">
      <alignment vertical="top"/>
    </xf>
    <xf numFmtId="168" fontId="12" fillId="0" borderId="0" xfId="0" applyNumberFormat="1" applyFont="1" applyFill="1" applyAlignment="1">
      <alignment/>
    </xf>
    <xf numFmtId="168" fontId="7" fillId="0" borderId="2" xfId="15" applyNumberFormat="1" applyFont="1" applyFill="1" applyBorder="1" applyAlignment="1">
      <alignment vertical="top"/>
    </xf>
    <xf numFmtId="37" fontId="8" fillId="0" borderId="12" xfId="0" applyNumberFormat="1" applyFont="1" applyFill="1" applyBorder="1" applyAlignment="1">
      <alignment/>
    </xf>
    <xf numFmtId="168" fontId="8" fillId="0" borderId="0" xfId="15" applyNumberFormat="1" applyFont="1" applyFill="1" applyBorder="1" applyAlignment="1">
      <alignment vertical="top"/>
    </xf>
    <xf numFmtId="168" fontId="7" fillId="0" borderId="0" xfId="15" applyNumberFormat="1" applyFont="1" applyFill="1" applyBorder="1" applyAlignment="1">
      <alignment vertical="top"/>
    </xf>
    <xf numFmtId="0" fontId="8" fillId="0" borderId="2" xfId="0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68" fontId="8" fillId="0" borderId="1" xfId="15" applyNumberFormat="1" applyFont="1" applyFill="1" applyBorder="1" applyAlignment="1">
      <alignment vertical="top"/>
    </xf>
    <xf numFmtId="41" fontId="8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0" fontId="8" fillId="0" borderId="13" xfId="15" applyNumberFormat="1" applyFont="1" applyFill="1" applyBorder="1" applyAlignment="1">
      <alignment/>
    </xf>
    <xf numFmtId="170" fontId="7" fillId="0" borderId="13" xfId="15" applyNumberFormat="1" applyFont="1" applyFill="1" applyBorder="1" applyAlignment="1">
      <alignment/>
    </xf>
    <xf numFmtId="170" fontId="8" fillId="0" borderId="0" xfId="15" applyNumberFormat="1" applyFont="1" applyFill="1" applyAlignment="1">
      <alignment/>
    </xf>
    <xf numFmtId="0" fontId="8" fillId="0" borderId="0" xfId="0" applyFont="1" applyFill="1" applyAlignment="1">
      <alignment vertical="top" wrapText="1"/>
    </xf>
    <xf numFmtId="170" fontId="7" fillId="0" borderId="13" xfId="15" applyNumberFormat="1" applyFont="1" applyFill="1" applyBorder="1" applyAlignment="1">
      <alignment vertical="top" wrapText="1"/>
    </xf>
    <xf numFmtId="170" fontId="7" fillId="0" borderId="13" xfId="15" applyNumberFormat="1" applyFont="1" applyFill="1" applyBorder="1" applyAlignment="1" quotePrefix="1">
      <alignment wrapText="1"/>
    </xf>
    <xf numFmtId="41" fontId="8" fillId="0" borderId="1" xfId="0" applyNumberFormat="1" applyFont="1" applyFill="1" applyBorder="1" applyAlignment="1">
      <alignment/>
    </xf>
    <xf numFmtId="170" fontId="7" fillId="0" borderId="2" xfId="15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170" fontId="7" fillId="0" borderId="0" xfId="15" applyNumberFormat="1" applyFont="1" applyFill="1" applyBorder="1" applyAlignment="1">
      <alignment/>
    </xf>
    <xf numFmtId="170" fontId="7" fillId="0" borderId="1" xfId="15" applyNumberFormat="1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37" fontId="7" fillId="0" borderId="1" xfId="0" applyNumberFormat="1" applyFont="1" applyFill="1" applyBorder="1" applyAlignment="1">
      <alignment/>
    </xf>
    <xf numFmtId="37" fontId="7" fillId="0" borderId="8" xfId="15" applyNumberFormat="1" applyFont="1" applyFill="1" applyBorder="1" applyAlignment="1">
      <alignment/>
    </xf>
    <xf numFmtId="170" fontId="7" fillId="0" borderId="6" xfId="15" applyNumberFormat="1" applyFont="1" applyFill="1" applyBorder="1" applyAlignment="1">
      <alignment/>
    </xf>
    <xf numFmtId="170" fontId="7" fillId="0" borderId="14" xfId="15" applyNumberFormat="1" applyFont="1" applyFill="1" applyBorder="1" applyAlignment="1">
      <alignment/>
    </xf>
    <xf numFmtId="170" fontId="7" fillId="0" borderId="12" xfId="15" applyNumberFormat="1" applyFont="1" applyFill="1" applyBorder="1" applyAlignment="1">
      <alignment/>
    </xf>
    <xf numFmtId="168" fontId="4" fillId="0" borderId="8" xfId="15" applyNumberFormat="1" applyFont="1" applyFill="1" applyBorder="1" applyAlignment="1">
      <alignment vertical="top"/>
    </xf>
    <xf numFmtId="170" fontId="3" fillId="0" borderId="0" xfId="0" applyNumberFormat="1" applyFont="1" applyFill="1" applyAlignment="1">
      <alignment vertical="top"/>
    </xf>
    <xf numFmtId="41" fontId="20" fillId="0" borderId="0" xfId="15" applyNumberFormat="1" applyFont="1" applyFill="1" applyAlignment="1">
      <alignment/>
    </xf>
    <xf numFmtId="41" fontId="20" fillId="0" borderId="1" xfId="15" applyNumberFormat="1" applyFont="1" applyFill="1" applyBorder="1" applyAlignment="1">
      <alignment/>
    </xf>
    <xf numFmtId="41" fontId="19" fillId="0" borderId="1" xfId="15" applyNumberFormat="1" applyFont="1" applyFill="1" applyBorder="1" applyAlignment="1">
      <alignment/>
    </xf>
    <xf numFmtId="41" fontId="19" fillId="0" borderId="0" xfId="15" applyNumberFormat="1" applyFont="1" applyFill="1" applyAlignment="1">
      <alignment/>
    </xf>
    <xf numFmtId="170" fontId="20" fillId="0" borderId="0" xfId="15" applyNumberFormat="1" applyFont="1" applyFill="1" applyBorder="1" applyAlignment="1">
      <alignment/>
    </xf>
    <xf numFmtId="41" fontId="19" fillId="0" borderId="0" xfId="0" applyNumberFormat="1" applyFont="1" applyFill="1" applyAlignment="1">
      <alignment/>
    </xf>
    <xf numFmtId="170" fontId="20" fillId="0" borderId="0" xfId="15" applyNumberFormat="1" applyFont="1" applyFill="1" applyAlignment="1">
      <alignment/>
    </xf>
    <xf numFmtId="170" fontId="20" fillId="0" borderId="1" xfId="15" applyNumberFormat="1" applyFont="1" applyFill="1" applyBorder="1" applyAlignment="1">
      <alignment/>
    </xf>
    <xf numFmtId="170" fontId="8" fillId="0" borderId="0" xfId="15" applyNumberFormat="1" applyFont="1" applyFill="1" applyBorder="1" applyAlignment="1">
      <alignment/>
    </xf>
    <xf numFmtId="168" fontId="8" fillId="0" borderId="0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41" fontId="7" fillId="0" borderId="9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41" fontId="7" fillId="0" borderId="8" xfId="15" applyNumberFormat="1" applyFont="1" applyFill="1" applyBorder="1" applyAlignment="1">
      <alignment/>
    </xf>
    <xf numFmtId="41" fontId="7" fillId="0" borderId="10" xfId="15" applyNumberFormat="1" applyFont="1" applyFill="1" applyBorder="1" applyAlignment="1">
      <alignment/>
    </xf>
    <xf numFmtId="41" fontId="7" fillId="0" borderId="4" xfId="15" applyNumberFormat="1" applyFont="1" applyFill="1" applyBorder="1" applyAlignment="1">
      <alignment/>
    </xf>
    <xf numFmtId="41" fontId="7" fillId="0" borderId="11" xfId="15" applyNumberFormat="1" applyFont="1" applyFill="1" applyBorder="1" applyAlignment="1">
      <alignment/>
    </xf>
    <xf numFmtId="41" fontId="7" fillId="0" borderId="5" xfId="15" applyNumberFormat="1" applyFont="1" applyFill="1" applyBorder="1" applyAlignment="1">
      <alignment/>
    </xf>
    <xf numFmtId="41" fontId="8" fillId="0" borderId="7" xfId="15" applyNumberFormat="1" applyFont="1" applyFill="1" applyBorder="1" applyAlignment="1">
      <alignment/>
    </xf>
    <xf numFmtId="41" fontId="7" fillId="0" borderId="7" xfId="15" applyNumberFormat="1" applyFont="1" applyFill="1" applyBorder="1" applyAlignment="1">
      <alignment/>
    </xf>
    <xf numFmtId="0" fontId="0" fillId="0" borderId="0" xfId="0" applyAlignment="1">
      <alignment/>
    </xf>
    <xf numFmtId="41" fontId="7" fillId="0" borderId="0" xfId="15" applyNumberFormat="1" applyFont="1" applyFill="1" applyBorder="1" applyAlignment="1" quotePrefix="1">
      <alignment/>
    </xf>
    <xf numFmtId="41" fontId="7" fillId="0" borderId="14" xfId="0" applyNumberFormat="1" applyFont="1" applyFill="1" applyBorder="1" applyAlignment="1">
      <alignment/>
    </xf>
    <xf numFmtId="211" fontId="7" fillId="0" borderId="14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8" fillId="0" borderId="0" xfId="15" applyNumberFormat="1" applyFont="1" applyFill="1" applyBorder="1" applyAlignment="1" quotePrefix="1">
      <alignment/>
    </xf>
    <xf numFmtId="41" fontId="20" fillId="0" borderId="0" xfId="15" applyNumberFormat="1" applyFont="1" applyFill="1" applyBorder="1" applyAlignment="1">
      <alignment/>
    </xf>
    <xf numFmtId="41" fontId="20" fillId="0" borderId="0" xfId="15" applyNumberFormat="1" applyFont="1" applyFill="1" applyBorder="1" applyAlignment="1" quotePrefix="1">
      <alignment/>
    </xf>
    <xf numFmtId="41" fontId="20" fillId="0" borderId="1" xfId="15" applyNumberFormat="1" applyFont="1" applyFill="1" applyBorder="1" applyAlignment="1" quotePrefix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41" fontId="7" fillId="0" borderId="3" xfId="15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left" indent="2"/>
    </xf>
    <xf numFmtId="168" fontId="7" fillId="0" borderId="0" xfId="0" applyNumberFormat="1" applyFont="1" applyFill="1" applyBorder="1" applyAlignment="1">
      <alignment/>
    </xf>
    <xf numFmtId="168" fontId="7" fillId="0" borderId="0" xfId="15" applyNumberFormat="1" applyFont="1" applyFill="1" applyBorder="1" applyAlignment="1">
      <alignment horizontal="left" indent="2"/>
    </xf>
    <xf numFmtId="0" fontId="16" fillId="0" borderId="0" xfId="0" applyFont="1" applyAlignment="1">
      <alignment horizontal="center" vertical="top" wrapText="1"/>
    </xf>
    <xf numFmtId="0" fontId="4" fillId="0" borderId="0" xfId="0" applyFont="1" applyFill="1" applyBorder="1" applyAlignment="1" quotePrefix="1">
      <alignment horizontal="center" vertical="top" wrapText="1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 quotePrefix="1">
      <alignment horizontal="center" vertical="top"/>
    </xf>
    <xf numFmtId="0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center" vertical="top" wrapText="1"/>
    </xf>
    <xf numFmtId="41" fontId="8" fillId="0" borderId="8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Alignment="1">
      <alignment horizontal="center" vertical="top" wrapText="1"/>
    </xf>
    <xf numFmtId="0" fontId="19" fillId="0" borderId="0" xfId="0" applyFont="1" applyFill="1" applyBorder="1" applyAlignment="1" quotePrefix="1">
      <alignment horizontal="center" vertical="top"/>
    </xf>
    <xf numFmtId="0" fontId="19" fillId="0" borderId="2" xfId="0" applyFont="1" applyFill="1" applyBorder="1" applyAlignment="1">
      <alignment horizontal="center"/>
    </xf>
    <xf numFmtId="0" fontId="17" fillId="0" borderId="0" xfId="20" applyFont="1" applyFill="1" applyAlignment="1">
      <alignment horizontal="center"/>
    </xf>
    <xf numFmtId="0" fontId="8" fillId="0" borderId="2" xfId="15" applyNumberFormat="1" applyFont="1" applyFill="1" applyBorder="1" applyAlignment="1">
      <alignment horizontal="center"/>
    </xf>
    <xf numFmtId="170" fontId="8" fillId="0" borderId="2" xfId="15" applyNumberFormat="1" applyFont="1" applyFill="1" applyBorder="1" applyAlignment="1">
      <alignment horizontal="center" vertical="top" wrapText="1"/>
    </xf>
    <xf numFmtId="0" fontId="7" fillId="0" borderId="2" xfId="15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41" fontId="8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 quotePrefix="1">
      <alignment horizontal="center" vertical="center" wrapText="1"/>
    </xf>
    <xf numFmtId="41" fontId="8" fillId="0" borderId="0" xfId="0" applyNumberFormat="1" applyFont="1" applyFill="1" applyBorder="1" applyAlignment="1" quotePrefix="1">
      <alignment horizontal="center"/>
    </xf>
    <xf numFmtId="41" fontId="8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right"/>
    </xf>
    <xf numFmtId="41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1" fontId="4" fillId="0" borderId="0" xfId="15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&amp;L Breaku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hulam%20Rabbani\Local%20Settings\Temporary%20Internet%20Files\OLKD0\Accounts%20Breakup%20FINAL%2008-7-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k-khifsr01\AuditB06\Documents%20and%20Settings\bhaq\Desktop\SBP%20Acc%2008-07\Conslidation\Consolidated%20Financial%20Statements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k-khifsr01\AuditB06\Documents%20and%20Settings\bhaq\Desktop\SBP%20Acc%2008-07\Cashflow.AA\2006\AC%20with%20cash%20flow....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k-khifsr01\AuditB06\Documents%20and%20Settings\muhammadzafer\Desktop\cashflow\Cashflow.AA\2006\Financial%20Statements%20-%2023%20Au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BS Breakup"/>
      <sheetName val="Profit and loss"/>
      <sheetName val="PL Control sheet "/>
      <sheetName val="PL Breakup"/>
      <sheetName val="TB 08 Aug"/>
    </sheetNames>
    <sheetDataSet>
      <sheetData sheetId="0">
        <row r="9">
          <cell r="H9">
            <v>134568947.72729</v>
          </cell>
        </row>
        <row r="24">
          <cell r="H24">
            <v>1793081.5</v>
          </cell>
        </row>
        <row r="25">
          <cell r="H25">
            <v>5645497.625</v>
          </cell>
        </row>
        <row r="27">
          <cell r="H27">
            <v>0</v>
          </cell>
        </row>
        <row r="29">
          <cell r="H29">
            <v>2375279.707269999</v>
          </cell>
        </row>
        <row r="30">
          <cell r="H30">
            <v>10000220.82837</v>
          </cell>
        </row>
        <row r="32">
          <cell r="H32">
            <v>2703008.83667</v>
          </cell>
        </row>
        <row r="45">
          <cell r="H45">
            <v>-1806030</v>
          </cell>
        </row>
        <row r="46">
          <cell r="H46">
            <v>-720678.6913</v>
          </cell>
        </row>
        <row r="47">
          <cell r="H47">
            <v>-91194.88515</v>
          </cell>
        </row>
        <row r="51">
          <cell r="H51">
            <v>-3815707.29686</v>
          </cell>
        </row>
        <row r="52">
          <cell r="H52">
            <v>-10769.035</v>
          </cell>
        </row>
        <row r="53">
          <cell r="H53">
            <v>-641709</v>
          </cell>
        </row>
        <row r="54">
          <cell r="H54">
            <v>-1292.2572600000005</v>
          </cell>
        </row>
        <row r="56">
          <cell r="H56">
            <v>-2929066.28112</v>
          </cell>
        </row>
        <row r="58">
          <cell r="H58">
            <v>-4870566.40942</v>
          </cell>
        </row>
      </sheetData>
      <sheetData sheetId="1">
        <row r="73">
          <cell r="F73">
            <v>92156422400</v>
          </cell>
        </row>
        <row r="76">
          <cell r="H76">
            <v>-92145896605.54001</v>
          </cell>
        </row>
        <row r="86">
          <cell r="H86">
            <v>378257293523.93</v>
          </cell>
        </row>
        <row r="122">
          <cell r="F122">
            <v>7500000000</v>
          </cell>
        </row>
        <row r="123">
          <cell r="F123">
            <v>10500000000</v>
          </cell>
        </row>
        <row r="136">
          <cell r="H136">
            <v>1346324751.01</v>
          </cell>
        </row>
        <row r="140">
          <cell r="H140">
            <v>-8673906210.2</v>
          </cell>
        </row>
        <row r="154">
          <cell r="F154">
            <v>39616004.78</v>
          </cell>
        </row>
        <row r="155">
          <cell r="F155">
            <v>837290.44</v>
          </cell>
        </row>
        <row r="161">
          <cell r="H161">
            <v>819924001.82</v>
          </cell>
        </row>
        <row r="164">
          <cell r="H164">
            <v>3513671021.81</v>
          </cell>
        </row>
        <row r="351">
          <cell r="F351">
            <v>-27090450000</v>
          </cell>
        </row>
        <row r="352">
          <cell r="F352">
            <v>-15050250000</v>
          </cell>
        </row>
        <row r="367">
          <cell r="I367">
            <v>-12744930901.289993</v>
          </cell>
        </row>
        <row r="375">
          <cell r="F375">
            <v>-10830053447.18</v>
          </cell>
        </row>
        <row r="379">
          <cell r="F379">
            <v>-29241.86</v>
          </cell>
        </row>
        <row r="380">
          <cell r="F380">
            <v>-85922647104</v>
          </cell>
        </row>
        <row r="381">
          <cell r="F381">
            <v>6886489526</v>
          </cell>
        </row>
        <row r="608">
          <cell r="F608">
            <v>-28510401.48</v>
          </cell>
        </row>
        <row r="609">
          <cell r="F609">
            <v>-141229252.7</v>
          </cell>
        </row>
        <row r="610">
          <cell r="F610">
            <v>-15285000</v>
          </cell>
        </row>
        <row r="611">
          <cell r="F611">
            <v>-3054753000</v>
          </cell>
        </row>
        <row r="612">
          <cell r="F612">
            <v>-243767000</v>
          </cell>
        </row>
        <row r="613">
          <cell r="F613">
            <v>-273824000</v>
          </cell>
        </row>
      </sheetData>
      <sheetData sheetId="2">
        <row r="23">
          <cell r="G23">
            <v>2431476.4674</v>
          </cell>
        </row>
        <row r="28">
          <cell r="G28">
            <v>547691.2438099999</v>
          </cell>
        </row>
        <row r="42">
          <cell r="C42">
            <v>462079.06875</v>
          </cell>
          <cell r="E42">
            <v>668</v>
          </cell>
        </row>
      </sheetData>
      <sheetData sheetId="3">
        <row r="9">
          <cell r="G9">
            <v>-34874646876.740005</v>
          </cell>
        </row>
        <row r="11">
          <cell r="G11">
            <v>-117617041.62</v>
          </cell>
        </row>
        <row r="12">
          <cell r="G12">
            <v>-2530473817.62</v>
          </cell>
        </row>
        <row r="13">
          <cell r="G13">
            <v>-8374826262.38</v>
          </cell>
        </row>
        <row r="15">
          <cell r="G15">
            <v>-17314136625.920002</v>
          </cell>
        </row>
        <row r="16">
          <cell r="G16">
            <v>-6668316217.21</v>
          </cell>
        </row>
        <row r="17">
          <cell r="G17">
            <v>-242608.39</v>
          </cell>
        </row>
        <row r="22">
          <cell r="G22">
            <v>3981369265.7099996</v>
          </cell>
        </row>
        <row r="25">
          <cell r="G25">
            <v>66432577.730000004</v>
          </cell>
        </row>
        <row r="31">
          <cell r="G31">
            <v>-69650922.35</v>
          </cell>
        </row>
        <row r="32">
          <cell r="G32">
            <v>-62655000</v>
          </cell>
        </row>
        <row r="33">
          <cell r="G33">
            <v>-151516000</v>
          </cell>
        </row>
        <row r="34">
          <cell r="G34">
            <v>-64366706.08</v>
          </cell>
        </row>
        <row r="35">
          <cell r="G35">
            <v>-92844000</v>
          </cell>
        </row>
        <row r="41">
          <cell r="G41">
            <v>-5503078039.57</v>
          </cell>
        </row>
        <row r="44">
          <cell r="G44">
            <v>15480000</v>
          </cell>
        </row>
        <row r="45">
          <cell r="G45">
            <v>1292257</v>
          </cell>
        </row>
        <row r="46">
          <cell r="G46">
            <v>1485867599.93</v>
          </cell>
        </row>
        <row r="47">
          <cell r="G47">
            <v>-262445342.4</v>
          </cell>
        </row>
        <row r="48">
          <cell r="G48">
            <v>34536465.81</v>
          </cell>
        </row>
        <row r="51">
          <cell r="G51">
            <v>-147926187.51999998</v>
          </cell>
        </row>
        <row r="57">
          <cell r="G57">
            <v>-884090511.39</v>
          </cell>
        </row>
        <row r="58">
          <cell r="G58">
            <v>-34274000</v>
          </cell>
        </row>
        <row r="60">
          <cell r="G60">
            <v>1019213645.6999999</v>
          </cell>
        </row>
        <row r="61">
          <cell r="G61">
            <v>-900080682.46</v>
          </cell>
        </row>
        <row r="62">
          <cell r="G62">
            <v>-312500</v>
          </cell>
        </row>
        <row r="68">
          <cell r="G68">
            <v>-2486880.27</v>
          </cell>
        </row>
        <row r="69">
          <cell r="G69">
            <v>-66880975</v>
          </cell>
        </row>
        <row r="70">
          <cell r="G70">
            <v>-3421587398.2</v>
          </cell>
        </row>
        <row r="71">
          <cell r="G71">
            <v>-135696685</v>
          </cell>
        </row>
        <row r="72">
          <cell r="G72">
            <v>-73648690.88</v>
          </cell>
        </row>
        <row r="91">
          <cell r="G91">
            <v>761418621.8100001</v>
          </cell>
        </row>
        <row r="92">
          <cell r="G92">
            <v>837509337.91</v>
          </cell>
        </row>
        <row r="93">
          <cell r="G93">
            <v>10000000</v>
          </cell>
        </row>
        <row r="94">
          <cell r="G94">
            <v>7534269</v>
          </cell>
        </row>
        <row r="95">
          <cell r="G95">
            <v>4778099</v>
          </cell>
        </row>
        <row r="96">
          <cell r="G96">
            <v>14988679</v>
          </cell>
        </row>
        <row r="97">
          <cell r="G97">
            <v>332028640.76</v>
          </cell>
        </row>
        <row r="98">
          <cell r="G98">
            <v>69986959.74</v>
          </cell>
        </row>
        <row r="99">
          <cell r="G99">
            <v>124401346.06</v>
          </cell>
        </row>
        <row r="100">
          <cell r="G100">
            <v>1950000</v>
          </cell>
        </row>
        <row r="101">
          <cell r="G101">
            <v>303226697.78000003</v>
          </cell>
        </row>
        <row r="102">
          <cell r="G102">
            <v>37855652.86</v>
          </cell>
        </row>
        <row r="103">
          <cell r="G103">
            <v>29851350</v>
          </cell>
        </row>
        <row r="104">
          <cell r="G104">
            <v>7954102</v>
          </cell>
        </row>
        <row r="105">
          <cell r="G105">
            <v>3363687</v>
          </cell>
        </row>
        <row r="106">
          <cell r="G106">
            <v>75584907.32</v>
          </cell>
        </row>
        <row r="107">
          <cell r="G107">
            <v>4392061.1</v>
          </cell>
        </row>
        <row r="108">
          <cell r="G108">
            <v>2992500</v>
          </cell>
        </row>
        <row r="109">
          <cell r="G109">
            <v>0</v>
          </cell>
        </row>
        <row r="110">
          <cell r="G110">
            <v>7340135.4799999995</v>
          </cell>
        </row>
        <row r="111">
          <cell r="G111">
            <v>11239503.21</v>
          </cell>
        </row>
        <row r="112">
          <cell r="G112">
            <v>15760297</v>
          </cell>
        </row>
        <row r="113">
          <cell r="G113">
            <v>1926770</v>
          </cell>
        </row>
        <row r="114">
          <cell r="G114">
            <v>83287154.03</v>
          </cell>
        </row>
        <row r="118">
          <cell r="G118">
            <v>1370798000</v>
          </cell>
        </row>
        <row r="120">
          <cell r="G120">
            <v>3738612</v>
          </cell>
        </row>
        <row r="124">
          <cell r="G124">
            <v>2773637000</v>
          </cell>
        </row>
        <row r="126">
          <cell r="G126">
            <v>59267281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mk"/>
      <sheetName val="BS-ISS"/>
      <sheetName val="BS-BAN"/>
      <sheetName val="P AND L "/>
      <sheetName val="Cashflow"/>
      <sheetName val="ST OF EQ"/>
      <sheetName val="NOTE 3 - 4.4"/>
      <sheetName val="NOTE 5 - 10"/>
      <sheetName val="Note 10.1 - 11"/>
      <sheetName val="NOTE 12 - 15"/>
      <sheetName val="NOTE 15.1 - 15.4"/>
      <sheetName val="NOTE 16 - 20"/>
      <sheetName val="Note 20.1 - 23.1"/>
      <sheetName val="NOTE 24 - 25.1"/>
      <sheetName val="NOTE 24.2 - 25.1"/>
      <sheetName val="NOTE 26.2 - 29"/>
      <sheetName val="NOTE 30 - 32.1"/>
      <sheetName val="NOTE 32.2 - 35"/>
      <sheetName val="NOTE 36 - 39"/>
      <sheetName val="NOTE 40 "/>
      <sheetName val="NOTE 41.4 - 41.4.3"/>
      <sheetName val="NOTE 41.5 - 41.7"/>
      <sheetName val="NOTE 42 - 45"/>
      <sheetName val="NOTE 46.1 - 46.1.3 (2)"/>
      <sheetName val="NOTE 46"/>
      <sheetName val="NOTE 48 - 49"/>
    </sheetNames>
    <sheetDataSet>
      <sheetData sheetId="16">
        <row r="7">
          <cell r="L7">
            <v>1156785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mk"/>
      <sheetName val="BS-ISS"/>
      <sheetName val="BS-BAN"/>
      <sheetName val="P AND L "/>
      <sheetName val="C,flow"/>
      <sheetName val="CF Working"/>
      <sheetName val="NOTE 3 - 4.4"/>
      <sheetName val="NOTE 5 - 10"/>
      <sheetName val="Note 10.1 - 11"/>
      <sheetName val="NOTE 12 - 15"/>
      <sheetName val="NOTE 15.1 - 15.4"/>
      <sheetName val="NOTE 16 - 20"/>
      <sheetName val="Note 20.1 - 23.1"/>
      <sheetName val="NOTE 24 - 25.1"/>
      <sheetName val="NOTE 24.2 - 25.1"/>
      <sheetName val="NOTE 26.2 - 29"/>
      <sheetName val="NOTE 30 - 32.1"/>
      <sheetName val="NOTE 32.2 - 35"/>
      <sheetName val="NOTE 36 - 41"/>
      <sheetName val="NOTE 41 - 41.1"/>
      <sheetName val="NOTE 42.1-43.3"/>
      <sheetName val="NOTE 41.4 - 41.4.3"/>
      <sheetName val="NOTE 41.5 - 41.7"/>
      <sheetName val="NOTE 42 - 45"/>
      <sheetName val="NOTE 46.1 - 46.1.3"/>
      <sheetName val="NOTE 48 - 49"/>
      <sheetName val="Cashflow"/>
      <sheetName val="NOTE 46"/>
      <sheetName val="ST OF EQ"/>
      <sheetName val="NOTE 46.1.4 - 47.1"/>
    </sheetNames>
    <sheetDataSet>
      <sheetData sheetId="24">
        <row r="42">
          <cell r="F42">
            <v>39722037.526319996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mk"/>
      <sheetName val="BS-ISS"/>
      <sheetName val="BS-BAN"/>
      <sheetName val="Summary P&amp; L"/>
      <sheetName val="Cashflow"/>
      <sheetName val="CFW"/>
      <sheetName val="NOTE 39-42"/>
      <sheetName val="NOTE 15-16"/>
      <sheetName val="P AND L"/>
      <sheetName val="ST OF EQ"/>
      <sheetName val="Balance sheet"/>
      <sheetName val="NOTE 3,4,6"/>
      <sheetName val="NOTE 8 - 9"/>
      <sheetName val="Summary BS"/>
      <sheetName val="Profit and Loss Account"/>
      <sheetName val="Note 9.1- 9.4"/>
      <sheetName val="NOTE 10-14"/>
      <sheetName val="NOTE 14.1-14.5"/>
      <sheetName val="NOTE 17-19"/>
      <sheetName val="Note 19.1-19.5"/>
      <sheetName val="Control Sheet "/>
      <sheetName val="NOTE 20-21.1"/>
      <sheetName val="NOTE 21.2-23"/>
      <sheetName val="NOTE 23.1-26"/>
      <sheetName val="NOTE 27-30.1"/>
      <sheetName val="NOTE 30.2-33"/>
      <sheetName val="NOTE 31-38"/>
      <sheetName val="NOTE 38.1-38.4"/>
      <sheetName val="NOTE 39"/>
      <sheetName val="Actuary, NOTE 39.4, 38.7"/>
      <sheetName val="NOTE 43.1-46"/>
      <sheetName val="NOTE 43"/>
    </sheetNames>
    <sheetDataSet>
      <sheetData sheetId="6">
        <row r="86">
          <cell r="G86">
            <v>-49188</v>
          </cell>
        </row>
        <row r="92">
          <cell r="G92">
            <v>-9129</v>
          </cell>
        </row>
        <row r="119">
          <cell r="G119">
            <v>605318</v>
          </cell>
        </row>
        <row r="186">
          <cell r="C186">
            <v>426972</v>
          </cell>
        </row>
        <row r="199">
          <cell r="C199">
            <v>-235036</v>
          </cell>
        </row>
        <row r="207">
          <cell r="C207">
            <v>968782</v>
          </cell>
        </row>
      </sheetData>
      <sheetData sheetId="9">
        <row r="13">
          <cell r="G13">
            <v>1502639</v>
          </cell>
        </row>
        <row r="46">
          <cell r="G46">
            <v>-10000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82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51"/>
  <sheetViews>
    <sheetView view="pageBreakPreview" zoomScaleSheetLayoutView="100" workbookViewId="0" topLeftCell="A1">
      <selection activeCell="D43" sqref="D43"/>
    </sheetView>
  </sheetViews>
  <sheetFormatPr defaultColWidth="9.140625" defaultRowHeight="12.75"/>
  <cols>
    <col min="1" max="1" width="6.00390625" style="5" customWidth="1"/>
    <col min="2" max="2" width="4.00390625" style="5" customWidth="1"/>
    <col min="3" max="3" width="21.8515625" style="5" customWidth="1"/>
    <col min="4" max="4" width="6.00390625" style="5" customWidth="1"/>
    <col min="5" max="5" width="5.28125" style="5" customWidth="1"/>
    <col min="6" max="6" width="1.8515625" style="5" customWidth="1"/>
    <col min="7" max="7" width="8.00390625" style="5" customWidth="1"/>
    <col min="8" max="8" width="7.8515625" style="5" customWidth="1"/>
    <col min="9" max="9" width="14.00390625" style="5" customWidth="1"/>
    <col min="10" max="10" width="2.140625" style="5" customWidth="1"/>
    <col min="11" max="11" width="14.00390625" style="5" customWidth="1"/>
    <col min="12" max="12" width="1.57421875" style="5" customWidth="1"/>
    <col min="13" max="13" width="7.57421875" style="5" customWidth="1"/>
    <col min="14" max="14" width="12.57421875" style="5" customWidth="1"/>
    <col min="15" max="15" width="9.57421875" style="5" customWidth="1"/>
    <col min="16" max="16384" width="7.57421875" style="5" customWidth="1"/>
  </cols>
  <sheetData>
    <row r="1" spans="1:11" s="10" customFormat="1" ht="15">
      <c r="A1" s="67" t="s">
        <v>786</v>
      </c>
      <c r="B1" s="6" t="s">
        <v>155</v>
      </c>
      <c r="C1" s="66"/>
      <c r="G1" s="25"/>
      <c r="H1" s="25"/>
      <c r="I1" s="25"/>
      <c r="J1" s="25"/>
      <c r="K1" s="25"/>
    </row>
    <row r="2" spans="1:11" s="10" customFormat="1" ht="10.5" customHeight="1">
      <c r="A2" s="74"/>
      <c r="B2" s="66"/>
      <c r="C2" s="66"/>
      <c r="G2" s="25"/>
      <c r="H2" s="25"/>
      <c r="I2" s="25"/>
      <c r="J2" s="25"/>
      <c r="K2" s="25"/>
    </row>
    <row r="3" spans="1:11" s="10" customFormat="1" ht="15">
      <c r="A3" s="74"/>
      <c r="B3" s="66" t="s">
        <v>591</v>
      </c>
      <c r="C3" s="66"/>
      <c r="G3" s="25"/>
      <c r="H3" s="25"/>
      <c r="I3" s="38"/>
      <c r="J3" s="38"/>
      <c r="K3" s="38"/>
    </row>
    <row r="4" spans="1:11" s="10" customFormat="1" ht="15">
      <c r="A4" s="74"/>
      <c r="B4" s="66" t="s">
        <v>766</v>
      </c>
      <c r="C4" s="66"/>
      <c r="G4" s="25"/>
      <c r="H4" s="25"/>
      <c r="I4" s="38"/>
      <c r="J4" s="38"/>
      <c r="K4" s="38"/>
    </row>
    <row r="5" spans="1:11" s="10" customFormat="1" ht="15">
      <c r="A5" s="75"/>
      <c r="B5" s="66" t="s">
        <v>630</v>
      </c>
      <c r="C5" s="66"/>
      <c r="G5" s="25"/>
      <c r="H5" s="25"/>
      <c r="I5" s="38"/>
      <c r="J5" s="38"/>
      <c r="K5" s="38"/>
    </row>
    <row r="6" spans="1:11" s="10" customFormat="1" ht="15">
      <c r="A6" s="75"/>
      <c r="B6" s="66" t="s">
        <v>767</v>
      </c>
      <c r="C6" s="5"/>
      <c r="G6" s="25"/>
      <c r="H6" s="25"/>
      <c r="I6" s="38"/>
      <c r="J6" s="38"/>
      <c r="K6" s="38"/>
    </row>
    <row r="7" spans="1:11" s="10" customFormat="1" ht="10.5" customHeight="1">
      <c r="A7" s="91"/>
      <c r="B7" s="115"/>
      <c r="C7" s="98"/>
      <c r="G7" s="25"/>
      <c r="H7" s="25"/>
      <c r="I7" s="38"/>
      <c r="J7" s="38"/>
      <c r="K7" s="38"/>
    </row>
    <row r="8" spans="1:11" ht="15">
      <c r="A8" s="72" t="s">
        <v>838</v>
      </c>
      <c r="B8" s="6" t="s">
        <v>710</v>
      </c>
      <c r="H8" s="12"/>
      <c r="I8" s="15">
        <v>2006</v>
      </c>
      <c r="K8" s="9">
        <v>2005</v>
      </c>
    </row>
    <row r="9" spans="1:11" ht="15">
      <c r="A9" s="72"/>
      <c r="B9" s="6" t="s">
        <v>530</v>
      </c>
      <c r="H9" s="12"/>
      <c r="J9" s="15" t="s">
        <v>832</v>
      </c>
      <c r="K9" s="15"/>
    </row>
    <row r="10" spans="8:11" ht="10.5" customHeight="1">
      <c r="H10" s="12"/>
      <c r="J10" s="15"/>
      <c r="K10" s="15"/>
    </row>
    <row r="11" spans="2:11" ht="15">
      <c r="B11" s="5" t="s">
        <v>981</v>
      </c>
      <c r="I11" s="58"/>
      <c r="J11" s="7"/>
      <c r="K11" s="7"/>
    </row>
    <row r="12" spans="2:11" ht="15">
      <c r="B12" s="20" t="s">
        <v>751</v>
      </c>
      <c r="I12" s="145">
        <f>K14</f>
        <v>876162</v>
      </c>
      <c r="J12" s="424"/>
      <c r="K12" s="151">
        <v>773079</v>
      </c>
    </row>
    <row r="13" spans="2:11" ht="15">
      <c r="B13" s="20" t="s">
        <v>558</v>
      </c>
      <c r="H13" s="12">
        <v>33</v>
      </c>
      <c r="I13" s="266">
        <v>364223</v>
      </c>
      <c r="J13" s="424"/>
      <c r="K13" s="267">
        <v>103083</v>
      </c>
    </row>
    <row r="14" spans="9:11" ht="15">
      <c r="I14" s="142">
        <f>SUM(I12:I13)</f>
        <v>1240385</v>
      </c>
      <c r="J14" s="61"/>
      <c r="K14" s="146">
        <f>SUM(K12:K13)</f>
        <v>876162</v>
      </c>
    </row>
    <row r="15" spans="9:11" ht="10.5" customHeight="1">
      <c r="I15" s="142"/>
      <c r="J15" s="61"/>
      <c r="K15" s="146"/>
    </row>
    <row r="16" spans="2:11" ht="15">
      <c r="B16" s="5" t="s">
        <v>982</v>
      </c>
      <c r="I16" s="142">
        <v>360948</v>
      </c>
      <c r="J16" s="61"/>
      <c r="K16" s="146">
        <v>357794</v>
      </c>
    </row>
    <row r="17" spans="2:11" ht="15">
      <c r="B17" s="5" t="s">
        <v>983</v>
      </c>
      <c r="I17" s="142">
        <v>13196</v>
      </c>
      <c r="J17" s="61"/>
      <c r="K17" s="146">
        <v>13910</v>
      </c>
    </row>
    <row r="18" spans="2:11" ht="15">
      <c r="B18" s="5" t="s">
        <v>477</v>
      </c>
      <c r="I18" s="145">
        <v>3888</v>
      </c>
      <c r="J18" s="61"/>
      <c r="K18" s="151">
        <v>4086</v>
      </c>
    </row>
    <row r="19" spans="9:11" ht="15.75" thickBot="1">
      <c r="I19" s="264">
        <f>SUM(I14:I18)</f>
        <v>1618417</v>
      </c>
      <c r="J19" s="61"/>
      <c r="K19" s="271">
        <f>SUM(K14:K18)</f>
        <v>1251952</v>
      </c>
    </row>
    <row r="20" spans="9:11" ht="10.5" customHeight="1" thickTop="1">
      <c r="I20" s="25"/>
      <c r="J20" s="9"/>
      <c r="K20" s="25"/>
    </row>
    <row r="21" spans="2:12" ht="15">
      <c r="B21" s="66" t="s">
        <v>875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2:12" ht="15">
      <c r="B22" s="66" t="s">
        <v>887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2:12" ht="15">
      <c r="B23" s="66" t="s">
        <v>888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2:12" ht="15">
      <c r="B24" s="66" t="s">
        <v>889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11" ht="10.5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2" ht="15">
      <c r="A26" s="67" t="s">
        <v>787</v>
      </c>
      <c r="B26" s="6" t="s">
        <v>156</v>
      </c>
    </row>
    <row r="27" ht="10.5" customHeight="1">
      <c r="E27" s="6"/>
    </row>
    <row r="28" spans="2:11" ht="15">
      <c r="B28" s="5" t="s">
        <v>932</v>
      </c>
      <c r="H28" s="12">
        <v>10</v>
      </c>
      <c r="I28" s="142">
        <v>139340</v>
      </c>
      <c r="J28" s="61"/>
      <c r="K28" s="61">
        <v>145618</v>
      </c>
    </row>
    <row r="29" spans="2:11" ht="15">
      <c r="B29" s="5" t="s">
        <v>984</v>
      </c>
      <c r="I29" s="142">
        <f>787781817-3545871</f>
        <v>784235946</v>
      </c>
      <c r="J29" s="61"/>
      <c r="K29" s="61">
        <v>705720090</v>
      </c>
    </row>
    <row r="30" spans="9:11" ht="15.75" thickBot="1">
      <c r="I30" s="264">
        <f>SUM(I28:I29)</f>
        <v>784375286</v>
      </c>
      <c r="J30" s="61"/>
      <c r="K30" s="425">
        <f>SUM(K28:K29)</f>
        <v>705865708</v>
      </c>
    </row>
    <row r="31" spans="9:11" ht="10.5" customHeight="1" thickTop="1">
      <c r="I31" s="442"/>
      <c r="J31" s="61"/>
      <c r="K31" s="424"/>
    </row>
    <row r="32" spans="1:11" ht="15">
      <c r="A32" s="68" t="s">
        <v>977</v>
      </c>
      <c r="B32" s="6" t="s">
        <v>768</v>
      </c>
      <c r="I32" s="442"/>
      <c r="J32" s="61"/>
      <c r="K32" s="424"/>
    </row>
    <row r="33" spans="1:11" ht="15">
      <c r="A33" s="22"/>
      <c r="B33" s="6" t="s">
        <v>769</v>
      </c>
      <c r="I33" s="442"/>
      <c r="J33" s="61"/>
      <c r="K33" s="424"/>
    </row>
    <row r="34" spans="1:11" ht="15">
      <c r="A34" s="22"/>
      <c r="B34" s="6" t="s">
        <v>770</v>
      </c>
      <c r="I34" s="442"/>
      <c r="J34" s="61"/>
      <c r="K34" s="424"/>
    </row>
    <row r="35" spans="1:11" ht="10.5" customHeight="1">
      <c r="A35" s="22"/>
      <c r="I35" s="442"/>
      <c r="J35" s="61"/>
      <c r="K35" s="424"/>
    </row>
    <row r="36" spans="1:11" ht="15">
      <c r="A36" s="22"/>
      <c r="B36" s="5" t="s">
        <v>98</v>
      </c>
      <c r="I36" s="145">
        <f>'[1]BS Breakup'!$F$73/1000</f>
        <v>92156422.4</v>
      </c>
      <c r="J36" s="424"/>
      <c r="K36" s="424">
        <v>90311785</v>
      </c>
    </row>
    <row r="37" spans="1:11" ht="15">
      <c r="A37" s="22"/>
      <c r="B37" s="5" t="s">
        <v>835</v>
      </c>
      <c r="I37" s="145">
        <f>'[1]BS Breakup'!$H$76/1000</f>
        <v>-92145896.60554</v>
      </c>
      <c r="J37" s="424"/>
      <c r="K37" s="64">
        <v>-90301470</v>
      </c>
    </row>
    <row r="38" spans="8:11" ht="15.75" thickBot="1">
      <c r="H38" s="12"/>
      <c r="I38" s="264">
        <f>+I36+I37-1</f>
        <v>10524.794459998608</v>
      </c>
      <c r="J38" s="417"/>
      <c r="K38" s="425">
        <f>+K36+K37</f>
        <v>10315</v>
      </c>
    </row>
    <row r="39" spans="1:11" ht="15.75" thickTop="1">
      <c r="A39" s="68" t="s">
        <v>844</v>
      </c>
      <c r="B39" s="6" t="s">
        <v>183</v>
      </c>
      <c r="I39" s="442"/>
      <c r="J39" s="61"/>
      <c r="K39" s="424"/>
    </row>
    <row r="40" spans="1:11" ht="10.5" customHeight="1">
      <c r="A40" s="68"/>
      <c r="B40" s="6"/>
      <c r="I40" s="442"/>
      <c r="J40" s="61"/>
      <c r="K40" s="424"/>
    </row>
    <row r="41" spans="1:11" ht="15">
      <c r="A41" s="22"/>
      <c r="B41" s="5" t="s">
        <v>669</v>
      </c>
      <c r="H41" s="12">
        <v>17.1</v>
      </c>
      <c r="I41" s="145">
        <f>'NOTE 17.1 - 17.4'!L7</f>
        <v>18000000</v>
      </c>
      <c r="J41" s="424"/>
      <c r="K41" s="424">
        <v>20700000</v>
      </c>
    </row>
    <row r="42" spans="1:11" ht="10.5" customHeight="1">
      <c r="A42" s="22"/>
      <c r="H42" s="12"/>
      <c r="I42" s="145"/>
      <c r="J42" s="424"/>
      <c r="K42" s="424"/>
    </row>
    <row r="43" spans="1:11" ht="15">
      <c r="A43" s="22"/>
      <c r="B43" s="22" t="s">
        <v>837</v>
      </c>
      <c r="D43" s="10"/>
      <c r="E43" s="10"/>
      <c r="F43" s="10"/>
      <c r="G43" s="10"/>
      <c r="H43" s="92" t="s">
        <v>383</v>
      </c>
      <c r="I43" s="258">
        <f>'NOTE 17.1 - 17.4'!L23</f>
        <v>119697057</v>
      </c>
      <c r="J43" s="424"/>
      <c r="K43" s="429">
        <v>113234829</v>
      </c>
    </row>
    <row r="44" spans="1:13" ht="15">
      <c r="A44" s="22"/>
      <c r="B44" s="5" t="s">
        <v>836</v>
      </c>
      <c r="C44" s="6"/>
      <c r="H44" s="40" t="s">
        <v>78</v>
      </c>
      <c r="I44" s="262">
        <f>'NOTE 17.1 - 17.4'!L43</f>
        <v>96886598</v>
      </c>
      <c r="J44" s="61"/>
      <c r="K44" s="431">
        <v>92829411</v>
      </c>
      <c r="M44" s="29"/>
    </row>
    <row r="45" spans="1:11" ht="12.75" customHeight="1">
      <c r="A45" s="22"/>
      <c r="H45" s="12"/>
      <c r="I45" s="145">
        <f>SUM(I43:I44)</f>
        <v>216583655</v>
      </c>
      <c r="J45" s="61"/>
      <c r="K45" s="424">
        <f>SUM(K43:K44)</f>
        <v>206064240</v>
      </c>
    </row>
    <row r="46" spans="1:11" ht="15">
      <c r="A46" s="22"/>
      <c r="B46" s="5" t="s">
        <v>335</v>
      </c>
      <c r="H46" s="12"/>
      <c r="I46" s="266">
        <f>'[1]BS Breakup'!$H$136/1000</f>
        <v>1346324.75101</v>
      </c>
      <c r="J46" s="61"/>
      <c r="K46" s="422">
        <v>1147371</v>
      </c>
    </row>
    <row r="47" spans="1:11" ht="15">
      <c r="A47" s="22"/>
      <c r="H47" s="12"/>
      <c r="I47" s="145">
        <f>+I46+I45+I41</f>
        <v>235929979.75101</v>
      </c>
      <c r="J47" s="61"/>
      <c r="K47" s="424">
        <f>+K46+K45+K41</f>
        <v>227911611</v>
      </c>
    </row>
    <row r="48" spans="1:11" ht="15">
      <c r="A48" s="22"/>
      <c r="B48" s="5" t="s">
        <v>363</v>
      </c>
      <c r="H48" s="40"/>
      <c r="I48" s="266">
        <f>'[1]BS Breakup'!$H$140/1000</f>
        <v>-8673906.2102</v>
      </c>
      <c r="J48" s="61"/>
      <c r="K48" s="267">
        <v>-8740813</v>
      </c>
    </row>
    <row r="49" spans="1:11" ht="15">
      <c r="A49" s="22"/>
      <c r="C49" s="49"/>
      <c r="D49" s="49"/>
      <c r="E49" s="49"/>
      <c r="F49" s="49"/>
      <c r="G49" s="49"/>
      <c r="H49" s="12"/>
      <c r="I49" s="142">
        <f>+I47+I48</f>
        <v>227256073.54081</v>
      </c>
      <c r="J49" s="61"/>
      <c r="K49" s="61">
        <f>+K47+K48</f>
        <v>219170798</v>
      </c>
    </row>
    <row r="50" spans="1:11" ht="15">
      <c r="A50" s="22"/>
      <c r="B50" s="5" t="s">
        <v>689</v>
      </c>
      <c r="H50" s="40">
        <v>13</v>
      </c>
      <c r="I50" s="443">
        <f>K50</f>
        <v>-78500</v>
      </c>
      <c r="J50" s="62"/>
      <c r="K50" s="64">
        <v>-78500</v>
      </c>
    </row>
    <row r="51" spans="9:11" ht="15.75" thickBot="1">
      <c r="I51" s="233">
        <f>+I49+I50</f>
        <v>227177573.54081</v>
      </c>
      <c r="J51" s="7"/>
      <c r="K51" s="252">
        <f>+K49+K50</f>
        <v>219092298</v>
      </c>
    </row>
    <row r="52" ht="15.75" thickTop="1"/>
  </sheetData>
  <printOptions/>
  <pageMargins left="0.75" right="0.5" top="1" bottom="0.7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4"/>
  <sheetViews>
    <sheetView zoomScaleSheetLayoutView="100" workbookViewId="0" topLeftCell="A3">
      <selection activeCell="F11" sqref="F11"/>
    </sheetView>
  </sheetViews>
  <sheetFormatPr defaultColWidth="9.140625" defaultRowHeight="12.75"/>
  <cols>
    <col min="1" max="1" width="6.7109375" style="22" customWidth="1"/>
    <col min="2" max="2" width="14.140625" style="5" customWidth="1"/>
    <col min="3" max="3" width="5.7109375" style="5" customWidth="1"/>
    <col min="4" max="4" width="10.7109375" style="5" customWidth="1"/>
    <col min="5" max="5" width="1.421875" style="5" customWidth="1"/>
    <col min="6" max="6" width="10.7109375" style="5" customWidth="1"/>
    <col min="7" max="7" width="1.421875" style="5" customWidth="1"/>
    <col min="8" max="8" width="9.8515625" style="5" customWidth="1"/>
    <col min="9" max="9" width="1.421875" style="5" customWidth="1"/>
    <col min="10" max="10" width="9.8515625" style="5" customWidth="1"/>
    <col min="11" max="11" width="1.421875" style="5" customWidth="1"/>
    <col min="12" max="12" width="12.7109375" style="5" customWidth="1"/>
    <col min="13" max="13" width="1.421875" style="5" customWidth="1"/>
    <col min="14" max="14" width="12.7109375" style="5" customWidth="1"/>
    <col min="15" max="15" width="1.57421875" style="5" customWidth="1"/>
    <col min="16" max="16" width="12.28125" style="5" customWidth="1"/>
    <col min="17" max="17" width="7.57421875" style="5" customWidth="1"/>
    <col min="18" max="18" width="8.8515625" style="5" customWidth="1"/>
    <col min="19" max="16384" width="7.57421875" style="5" customWidth="1"/>
  </cols>
  <sheetData>
    <row r="1" spans="1:15" ht="15" hidden="1">
      <c r="A1" s="67"/>
      <c r="B1" s="6"/>
      <c r="L1" s="15"/>
      <c r="M1" s="15"/>
      <c r="N1" s="15"/>
      <c r="O1" s="10"/>
    </row>
    <row r="2" spans="1:15" ht="25.5" customHeight="1" hidden="1">
      <c r="A2" s="67"/>
      <c r="B2" s="6"/>
      <c r="D2" s="509"/>
      <c r="E2" s="509"/>
      <c r="F2" s="509"/>
      <c r="H2" s="509"/>
      <c r="I2" s="509"/>
      <c r="J2" s="509"/>
      <c r="L2" s="509"/>
      <c r="M2" s="509"/>
      <c r="N2" s="509"/>
      <c r="O2" s="10"/>
    </row>
    <row r="3" spans="1:15" ht="15">
      <c r="A3" s="67" t="s">
        <v>210</v>
      </c>
      <c r="B3" s="6" t="s">
        <v>352</v>
      </c>
      <c r="D3" s="15"/>
      <c r="E3" s="15"/>
      <c r="F3" s="15"/>
      <c r="H3" s="15"/>
      <c r="I3" s="15"/>
      <c r="J3" s="15"/>
      <c r="L3" s="15">
        <v>2006</v>
      </c>
      <c r="N3" s="9">
        <v>2005</v>
      </c>
      <c r="O3" s="10"/>
    </row>
    <row r="4" spans="1:15" ht="15">
      <c r="A4" s="5"/>
      <c r="D4" s="13"/>
      <c r="E4" s="15"/>
      <c r="F4" s="15"/>
      <c r="G4" s="15"/>
      <c r="H4" s="13"/>
      <c r="I4" s="13"/>
      <c r="J4" s="13"/>
      <c r="K4" s="13"/>
      <c r="L4" s="510" t="s">
        <v>832</v>
      </c>
      <c r="M4" s="510"/>
      <c r="N4" s="510"/>
      <c r="O4" s="10"/>
    </row>
    <row r="5" spans="1:15" ht="15">
      <c r="A5" s="5"/>
      <c r="B5" s="5" t="s">
        <v>66</v>
      </c>
      <c r="D5" s="34"/>
      <c r="E5" s="34"/>
      <c r="F5" s="34"/>
      <c r="G5" s="34"/>
      <c r="H5" s="34"/>
      <c r="I5" s="34"/>
      <c r="J5" s="34"/>
      <c r="K5" s="7"/>
      <c r="L5" s="145">
        <f>'[1]BS Breakup'!$F$123/1000</f>
        <v>10500000</v>
      </c>
      <c r="M5" s="424"/>
      <c r="N5" s="424">
        <v>12000000</v>
      </c>
      <c r="O5" s="10"/>
    </row>
    <row r="6" spans="1:15" ht="15">
      <c r="A6" s="5"/>
      <c r="B6" s="5" t="s">
        <v>752</v>
      </c>
      <c r="D6" s="34"/>
      <c r="E6" s="34"/>
      <c r="F6" s="34"/>
      <c r="G6" s="7"/>
      <c r="H6" s="34"/>
      <c r="I6" s="34"/>
      <c r="J6" s="34"/>
      <c r="K6" s="7"/>
      <c r="L6" s="145">
        <f>'[1]BS Breakup'!$F$122/1000</f>
        <v>7500000</v>
      </c>
      <c r="M6" s="424"/>
      <c r="N6" s="424">
        <v>8700000</v>
      </c>
      <c r="O6" s="10"/>
    </row>
    <row r="7" spans="1:15" ht="15.75" thickBot="1">
      <c r="A7" s="5"/>
      <c r="D7" s="34"/>
      <c r="E7" s="34"/>
      <c r="F7" s="34"/>
      <c r="G7" s="7"/>
      <c r="H7" s="34"/>
      <c r="I7" s="34"/>
      <c r="J7" s="34"/>
      <c r="K7" s="7"/>
      <c r="L7" s="264">
        <f>+L6+L5</f>
        <v>18000000</v>
      </c>
      <c r="M7" s="61"/>
      <c r="N7" s="425">
        <f>+N6+N5</f>
        <v>20700000</v>
      </c>
      <c r="O7" s="10"/>
    </row>
    <row r="8" spans="1:15" ht="9.75" customHeight="1" thickTop="1">
      <c r="A8" s="5"/>
      <c r="K8" s="9"/>
      <c r="L8" s="15"/>
      <c r="M8" s="15"/>
      <c r="N8" s="15"/>
      <c r="O8" s="10"/>
    </row>
    <row r="9" spans="1:15" ht="15" customHeight="1">
      <c r="A9" s="93" t="s">
        <v>286</v>
      </c>
      <c r="B9" s="66" t="s">
        <v>890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10"/>
    </row>
    <row r="10" spans="1:15" ht="15" customHeight="1">
      <c r="A10" s="93"/>
      <c r="B10" s="66" t="s">
        <v>891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10"/>
    </row>
    <row r="11" spans="1:15" ht="6.75" customHeight="1">
      <c r="A11" s="10"/>
      <c r="B11" s="22"/>
      <c r="L11" s="15"/>
      <c r="M11" s="15"/>
      <c r="N11" s="15"/>
      <c r="O11" s="10"/>
    </row>
    <row r="12" spans="1:13" ht="15">
      <c r="A12" s="68" t="s">
        <v>383</v>
      </c>
      <c r="B12" s="6" t="s">
        <v>448</v>
      </c>
      <c r="K12" s="15"/>
      <c r="M12" s="9"/>
    </row>
    <row r="13" spans="1:16" ht="9" customHeight="1">
      <c r="A13" s="68"/>
      <c r="B13" s="6"/>
      <c r="K13" s="15"/>
      <c r="N13" s="133"/>
      <c r="O13" s="13"/>
      <c r="P13" s="13"/>
    </row>
    <row r="14" spans="1:14" ht="30" customHeight="1">
      <c r="A14" s="68"/>
      <c r="B14" s="355"/>
      <c r="C14" s="356"/>
      <c r="D14" s="506" t="s">
        <v>650</v>
      </c>
      <c r="E14" s="506"/>
      <c r="F14" s="506"/>
      <c r="G14" s="357"/>
      <c r="H14" s="506" t="s">
        <v>449</v>
      </c>
      <c r="I14" s="506"/>
      <c r="J14" s="506"/>
      <c r="K14" s="357"/>
      <c r="L14" s="506" t="s">
        <v>980</v>
      </c>
      <c r="M14" s="506"/>
      <c r="N14" s="506"/>
    </row>
    <row r="15" spans="1:14" ht="15">
      <c r="A15" s="68"/>
      <c r="B15" s="358"/>
      <c r="C15" s="359"/>
      <c r="D15" s="353">
        <v>2006</v>
      </c>
      <c r="E15" s="356"/>
      <c r="F15" s="360">
        <v>2005</v>
      </c>
      <c r="G15" s="356"/>
      <c r="H15" s="353">
        <v>2006</v>
      </c>
      <c r="I15" s="356"/>
      <c r="J15" s="360">
        <v>2005</v>
      </c>
      <c r="K15" s="356"/>
      <c r="L15" s="353">
        <v>2006</v>
      </c>
      <c r="M15" s="356"/>
      <c r="N15" s="360">
        <v>2005</v>
      </c>
    </row>
    <row r="16" spans="1:14" ht="15">
      <c r="A16" s="68"/>
      <c r="B16" s="358"/>
      <c r="C16" s="359"/>
      <c r="D16" s="507" t="s">
        <v>559</v>
      </c>
      <c r="E16" s="508"/>
      <c r="F16" s="508"/>
      <c r="G16" s="508"/>
      <c r="H16" s="508"/>
      <c r="I16" s="508"/>
      <c r="J16" s="508"/>
      <c r="K16" s="508"/>
      <c r="L16" s="508"/>
      <c r="M16" s="508"/>
      <c r="N16" s="508"/>
    </row>
    <row r="17" spans="2:14" ht="9" customHeight="1">
      <c r="B17" s="356"/>
      <c r="C17" s="356"/>
      <c r="D17" s="356"/>
      <c r="E17" s="356"/>
      <c r="F17" s="356"/>
      <c r="G17" s="356"/>
      <c r="H17" s="356"/>
      <c r="I17" s="356"/>
      <c r="J17" s="356"/>
      <c r="K17" s="353"/>
      <c r="L17" s="356"/>
      <c r="M17" s="360"/>
      <c r="N17" s="356"/>
    </row>
    <row r="18" spans="2:14" ht="15">
      <c r="B18" s="361" t="s">
        <v>843</v>
      </c>
      <c r="C18" s="359" t="s">
        <v>288</v>
      </c>
      <c r="D18" s="362">
        <v>63032232</v>
      </c>
      <c r="E18" s="363"/>
      <c r="F18" s="434">
        <v>60590768</v>
      </c>
      <c r="G18" s="363"/>
      <c r="H18" s="437">
        <v>0</v>
      </c>
      <c r="I18" s="438"/>
      <c r="J18" s="434">
        <v>0</v>
      </c>
      <c r="K18" s="438"/>
      <c r="L18" s="439">
        <f>D18+H18</f>
        <v>63032232</v>
      </c>
      <c r="M18" s="438"/>
      <c r="N18" s="434">
        <f>F18+J18</f>
        <v>60590768</v>
      </c>
    </row>
    <row r="19" spans="2:14" ht="15">
      <c r="B19" s="361" t="s">
        <v>332</v>
      </c>
      <c r="C19" s="359" t="s">
        <v>288</v>
      </c>
      <c r="D19" s="362">
        <v>4009425</v>
      </c>
      <c r="E19" s="363"/>
      <c r="F19" s="434">
        <v>2158045</v>
      </c>
      <c r="G19" s="363"/>
      <c r="H19" s="437">
        <v>750825</v>
      </c>
      <c r="I19" s="438"/>
      <c r="J19" s="434">
        <v>595007</v>
      </c>
      <c r="K19" s="438"/>
      <c r="L19" s="439">
        <f>D19+H19</f>
        <v>4760250</v>
      </c>
      <c r="M19" s="438"/>
      <c r="N19" s="434">
        <f>F19+J19</f>
        <v>2753052</v>
      </c>
    </row>
    <row r="20" spans="2:16" ht="15">
      <c r="B20" s="361" t="s">
        <v>327</v>
      </c>
      <c r="C20" s="361"/>
      <c r="D20" s="364">
        <f>17498742+3183150</f>
        <v>20681892</v>
      </c>
      <c r="E20" s="363"/>
      <c r="F20" s="434">
        <v>21780804</v>
      </c>
      <c r="G20" s="363"/>
      <c r="H20" s="437">
        <v>0</v>
      </c>
      <c r="I20" s="438"/>
      <c r="J20" s="434">
        <v>0</v>
      </c>
      <c r="K20" s="438"/>
      <c r="L20" s="439">
        <f>D20+H20</f>
        <v>20681892</v>
      </c>
      <c r="M20" s="438"/>
      <c r="N20" s="434">
        <f>F20+J20</f>
        <v>21780804</v>
      </c>
      <c r="P20" s="36"/>
    </row>
    <row r="21" spans="2:14" ht="15">
      <c r="B21" s="361" t="s">
        <v>328</v>
      </c>
      <c r="C21" s="361"/>
      <c r="D21" s="362">
        <v>0</v>
      </c>
      <c r="E21" s="363"/>
      <c r="F21" s="434">
        <v>66907</v>
      </c>
      <c r="G21" s="363"/>
      <c r="H21" s="437">
        <f>11242300+3567</f>
        <v>11245867</v>
      </c>
      <c r="I21" s="438"/>
      <c r="J21" s="434">
        <v>11242300</v>
      </c>
      <c r="K21" s="438"/>
      <c r="L21" s="439">
        <f>D21+H21</f>
        <v>11245867</v>
      </c>
      <c r="M21" s="438"/>
      <c r="N21" s="434">
        <f>F21+J21</f>
        <v>11309207</v>
      </c>
    </row>
    <row r="22" spans="2:14" ht="15">
      <c r="B22" s="361" t="s">
        <v>471</v>
      </c>
      <c r="C22" s="359"/>
      <c r="D22" s="362">
        <f>20984826-3183150+33400</f>
        <v>17835076</v>
      </c>
      <c r="E22" s="363"/>
      <c r="F22" s="434">
        <v>12985936</v>
      </c>
      <c r="G22" s="363"/>
      <c r="H22" s="437">
        <v>2141740</v>
      </c>
      <c r="I22" s="438"/>
      <c r="J22" s="434">
        <v>3815062</v>
      </c>
      <c r="K22" s="438"/>
      <c r="L22" s="439">
        <f>D22+H22</f>
        <v>19976816</v>
      </c>
      <c r="M22" s="438"/>
      <c r="N22" s="434">
        <f>F22+J22</f>
        <v>16800998</v>
      </c>
    </row>
    <row r="23" spans="2:18" ht="15.75" thickBot="1">
      <c r="B23" s="361"/>
      <c r="C23" s="361"/>
      <c r="D23" s="436">
        <f>SUM(D18:D22)</f>
        <v>105558625</v>
      </c>
      <c r="E23" s="363"/>
      <c r="F23" s="435">
        <f>SUM(F18:F22)</f>
        <v>97582460</v>
      </c>
      <c r="G23" s="363"/>
      <c r="H23" s="436">
        <f>SUM(H19:H22)</f>
        <v>14138432</v>
      </c>
      <c r="I23" s="438"/>
      <c r="J23" s="435">
        <f>SUM(J18:J22)</f>
        <v>15652369</v>
      </c>
      <c r="K23" s="438"/>
      <c r="L23" s="436">
        <f>SUM(L18:L22)</f>
        <v>119697057</v>
      </c>
      <c r="M23" s="438"/>
      <c r="N23" s="435">
        <f>SUM(N18:N22)</f>
        <v>113234829</v>
      </c>
      <c r="R23" s="29"/>
    </row>
    <row r="24" spans="2:14" ht="7.5" customHeight="1" thickTop="1">
      <c r="B24" s="10"/>
      <c r="C24" s="10"/>
      <c r="D24" s="38"/>
      <c r="E24" s="8"/>
      <c r="F24" s="38"/>
      <c r="G24" s="8"/>
      <c r="H24" s="38"/>
      <c r="I24" s="8"/>
      <c r="J24" s="38"/>
      <c r="K24" s="8"/>
      <c r="L24" s="38"/>
      <c r="M24" s="38"/>
      <c r="N24" s="38"/>
    </row>
    <row r="25" spans="1:14" ht="15" customHeight="1">
      <c r="A25" s="74" t="s">
        <v>287</v>
      </c>
      <c r="B25" s="100" t="s">
        <v>536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5" customHeight="1">
      <c r="A26" s="74"/>
      <c r="B26" s="100" t="s">
        <v>892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5" customHeight="1">
      <c r="A27" s="74"/>
      <c r="B27" s="100" t="s">
        <v>893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2:14" ht="7.5" customHeight="1">
      <c r="B28" s="10"/>
      <c r="C28" s="10"/>
      <c r="D28" s="10"/>
      <c r="E28" s="10"/>
      <c r="F28" s="10"/>
      <c r="G28" s="10"/>
      <c r="H28" s="10"/>
      <c r="I28" s="10"/>
      <c r="J28" s="10"/>
      <c r="K28" s="17"/>
      <c r="L28" s="25"/>
      <c r="M28" s="10"/>
      <c r="N28" s="25"/>
    </row>
    <row r="29" spans="1:14" ht="15">
      <c r="A29" s="74" t="s">
        <v>288</v>
      </c>
      <c r="B29" s="100" t="s">
        <v>894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2:14" ht="15">
      <c r="B30" s="170" t="s">
        <v>896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2:14" ht="15">
      <c r="B31" s="66" t="s">
        <v>897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5">
      <c r="B32" s="66" t="s">
        <v>898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5.25" customHeight="1">
      <c r="A33" s="7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3" ht="15">
      <c r="A34" s="68" t="s">
        <v>78</v>
      </c>
      <c r="B34" s="6" t="s">
        <v>450</v>
      </c>
      <c r="K34" s="15"/>
      <c r="M34" s="9"/>
    </row>
    <row r="35" spans="1:14" ht="8.25" customHeight="1">
      <c r="A35" s="68"/>
      <c r="B35" s="6"/>
      <c r="K35" s="15"/>
      <c r="N35" s="133"/>
    </row>
    <row r="36" spans="1:14" ht="30" customHeight="1">
      <c r="A36" s="68"/>
      <c r="B36" s="355"/>
      <c r="C36" s="356"/>
      <c r="D36" s="506" t="s">
        <v>650</v>
      </c>
      <c r="E36" s="506"/>
      <c r="F36" s="506"/>
      <c r="G36" s="357"/>
      <c r="H36" s="506" t="s">
        <v>449</v>
      </c>
      <c r="I36" s="506"/>
      <c r="J36" s="506"/>
      <c r="K36" s="357"/>
      <c r="L36" s="506" t="s">
        <v>980</v>
      </c>
      <c r="M36" s="506"/>
      <c r="N36" s="506"/>
    </row>
    <row r="37" spans="1:14" ht="15">
      <c r="A37" s="68"/>
      <c r="B37" s="358"/>
      <c r="C37" s="356"/>
      <c r="D37" s="353">
        <v>2006</v>
      </c>
      <c r="E37" s="356"/>
      <c r="F37" s="360">
        <v>2005</v>
      </c>
      <c r="G37" s="356"/>
      <c r="H37" s="353">
        <v>2006</v>
      </c>
      <c r="I37" s="356"/>
      <c r="J37" s="360">
        <v>2005</v>
      </c>
      <c r="K37" s="356"/>
      <c r="L37" s="353">
        <v>2006</v>
      </c>
      <c r="M37" s="356"/>
      <c r="N37" s="360">
        <v>2005</v>
      </c>
    </row>
    <row r="38" spans="1:14" ht="15">
      <c r="A38" s="68"/>
      <c r="B38" s="358"/>
      <c r="C38" s="356"/>
      <c r="D38" s="507" t="s">
        <v>559</v>
      </c>
      <c r="E38" s="508"/>
      <c r="F38" s="508"/>
      <c r="G38" s="508"/>
      <c r="H38" s="508"/>
      <c r="I38" s="508"/>
      <c r="J38" s="508"/>
      <c r="K38" s="508"/>
      <c r="L38" s="508"/>
      <c r="M38" s="508"/>
      <c r="N38" s="508"/>
    </row>
    <row r="39" spans="2:14" ht="10.5" customHeight="1">
      <c r="B39" s="356"/>
      <c r="C39" s="356"/>
      <c r="D39" s="356"/>
      <c r="E39" s="356"/>
      <c r="F39" s="356"/>
      <c r="G39" s="356"/>
      <c r="H39" s="356"/>
      <c r="I39" s="356"/>
      <c r="J39" s="356"/>
      <c r="K39" s="353"/>
      <c r="L39" s="356"/>
      <c r="M39" s="360"/>
      <c r="N39" s="356"/>
    </row>
    <row r="40" spans="2:14" ht="15">
      <c r="B40" s="361" t="s">
        <v>332</v>
      </c>
      <c r="C40" s="361"/>
      <c r="D40" s="437">
        <v>4342170</v>
      </c>
      <c r="E40" s="438"/>
      <c r="F40" s="440">
        <v>0</v>
      </c>
      <c r="G40" s="438"/>
      <c r="H40" s="437">
        <v>3658659</v>
      </c>
      <c r="I40" s="438"/>
      <c r="J40" s="440">
        <v>3577792</v>
      </c>
      <c r="K40" s="438"/>
      <c r="L40" s="437">
        <f>D40+H40</f>
        <v>8000829</v>
      </c>
      <c r="M40" s="438"/>
      <c r="N40" s="440">
        <f>F40+J40</f>
        <v>3577792</v>
      </c>
    </row>
    <row r="41" spans="2:16" ht="15">
      <c r="B41" s="361" t="s">
        <v>327</v>
      </c>
      <c r="C41" s="361"/>
      <c r="D41" s="437">
        <v>87378787</v>
      </c>
      <c r="E41" s="438"/>
      <c r="F41" s="440">
        <v>87744637</v>
      </c>
      <c r="G41" s="438"/>
      <c r="H41" s="437">
        <v>0</v>
      </c>
      <c r="I41" s="438"/>
      <c r="J41" s="440">
        <v>0</v>
      </c>
      <c r="K41" s="438"/>
      <c r="L41" s="437">
        <f>D41+H41</f>
        <v>87378787</v>
      </c>
      <c r="M41" s="438"/>
      <c r="N41" s="440">
        <f>F41+J41</f>
        <v>87744637</v>
      </c>
      <c r="P41" s="36"/>
    </row>
    <row r="42" spans="2:14" ht="15">
      <c r="B42" s="361" t="s">
        <v>471</v>
      </c>
      <c r="C42" s="361"/>
      <c r="D42" s="437">
        <v>1506982</v>
      </c>
      <c r="E42" s="438"/>
      <c r="F42" s="440">
        <v>1506982</v>
      </c>
      <c r="G42" s="438"/>
      <c r="H42" s="437">
        <v>0</v>
      </c>
      <c r="I42" s="438"/>
      <c r="J42" s="440">
        <v>0</v>
      </c>
      <c r="K42" s="438"/>
      <c r="L42" s="437">
        <f>D42+H42</f>
        <v>1506982</v>
      </c>
      <c r="M42" s="438"/>
      <c r="N42" s="440">
        <f>F42+J42</f>
        <v>1506982</v>
      </c>
    </row>
    <row r="43" spans="2:14" ht="15.75" thickBot="1">
      <c r="B43" s="361"/>
      <c r="C43" s="361"/>
      <c r="D43" s="436">
        <f>SUM(D40:D42)</f>
        <v>93227939</v>
      </c>
      <c r="E43" s="438"/>
      <c r="F43" s="441">
        <f>SUM(F40:F42)</f>
        <v>89251619</v>
      </c>
      <c r="G43" s="438"/>
      <c r="H43" s="436">
        <f>SUM(H40:H42)</f>
        <v>3658659</v>
      </c>
      <c r="I43" s="438"/>
      <c r="J43" s="441">
        <f>SUM(J40:J42)</f>
        <v>3577792</v>
      </c>
      <c r="K43" s="438"/>
      <c r="L43" s="436">
        <f>SUM(L40:L42)</f>
        <v>96886598</v>
      </c>
      <c r="M43" s="438"/>
      <c r="N43" s="441">
        <f>SUM(N40:N42)</f>
        <v>92829411</v>
      </c>
    </row>
    <row r="44" spans="2:14" ht="8.25" customHeight="1" thickTop="1">
      <c r="B44" s="10"/>
      <c r="C44" s="10"/>
      <c r="D44" s="10"/>
      <c r="E44" s="10"/>
      <c r="F44" s="10"/>
      <c r="G44" s="10"/>
      <c r="H44" s="10"/>
      <c r="I44" s="10"/>
      <c r="J44" s="10"/>
      <c r="K44" s="17"/>
      <c r="L44" s="10"/>
      <c r="M44" s="10"/>
      <c r="N44" s="10"/>
    </row>
    <row r="45" spans="1:2" ht="15">
      <c r="A45" s="67" t="s">
        <v>289</v>
      </c>
      <c r="B45" s="5" t="s">
        <v>531</v>
      </c>
    </row>
    <row r="46" ht="8.25" customHeight="1">
      <c r="A46" s="5"/>
    </row>
    <row r="47" spans="1:14" ht="15">
      <c r="A47" s="5"/>
      <c r="L47" s="15">
        <v>2006</v>
      </c>
      <c r="N47" s="9">
        <v>2005</v>
      </c>
    </row>
    <row r="48" spans="1:14" ht="15">
      <c r="A48" s="5"/>
      <c r="L48" s="505" t="s">
        <v>696</v>
      </c>
      <c r="M48" s="505"/>
      <c r="N48" s="505"/>
    </row>
    <row r="49" ht="15" customHeight="1">
      <c r="A49" s="5"/>
    </row>
    <row r="50" spans="1:14" ht="15">
      <c r="A50" s="5"/>
      <c r="B50" s="94" t="s">
        <v>451</v>
      </c>
      <c r="L50" s="14" t="s">
        <v>613</v>
      </c>
      <c r="M50" s="25"/>
      <c r="N50" s="25" t="s">
        <v>467</v>
      </c>
    </row>
    <row r="51" spans="1:14" ht="15">
      <c r="A51" s="5"/>
      <c r="B51" s="94" t="s">
        <v>627</v>
      </c>
      <c r="L51" s="14">
        <v>10</v>
      </c>
      <c r="M51" s="25"/>
      <c r="N51" s="91">
        <v>10</v>
      </c>
    </row>
    <row r="52" ht="15">
      <c r="A52" s="5"/>
    </row>
    <row r="53" ht="15">
      <c r="A53" s="5"/>
    </row>
    <row r="54" ht="15">
      <c r="A54" s="5"/>
    </row>
  </sheetData>
  <mergeCells count="13">
    <mergeCell ref="D2:F2"/>
    <mergeCell ref="H2:J2"/>
    <mergeCell ref="L2:N2"/>
    <mergeCell ref="L4:N4"/>
    <mergeCell ref="L48:N48"/>
    <mergeCell ref="L14:N14"/>
    <mergeCell ref="D36:F36"/>
    <mergeCell ref="H36:J36"/>
    <mergeCell ref="L36:N36"/>
    <mergeCell ref="H14:J14"/>
    <mergeCell ref="D14:F14"/>
    <mergeCell ref="D16:N16"/>
    <mergeCell ref="D38:N38"/>
  </mergeCells>
  <printOptions/>
  <pageMargins left="0.75" right="0.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J1594"/>
  <sheetViews>
    <sheetView view="pageBreakPreview" zoomScale="50" zoomScaleSheetLayoutView="50" workbookViewId="0" topLeftCell="A1">
      <selection activeCell="E39" sqref="E39"/>
    </sheetView>
  </sheetViews>
  <sheetFormatPr defaultColWidth="9.140625" defaultRowHeight="12.75"/>
  <cols>
    <col min="1" max="1" width="4.7109375" style="66" customWidth="1"/>
    <col min="2" max="2" width="19.00390625" style="66" customWidth="1"/>
    <col min="3" max="3" width="10.421875" style="66" customWidth="1"/>
    <col min="4" max="4" width="0.85546875" style="66" customWidth="1"/>
    <col min="5" max="5" width="11.00390625" style="123" customWidth="1"/>
    <col min="6" max="6" width="14.140625" style="77" bestFit="1" customWidth="1"/>
    <col min="7" max="7" width="11.140625" style="77" customWidth="1"/>
    <col min="8" max="8" width="10.57421875" style="66" customWidth="1"/>
    <col min="9" max="9" width="0.85546875" style="66" customWidth="1"/>
    <col min="10" max="10" width="11.140625" style="66" customWidth="1"/>
    <col min="11" max="11" width="0.85546875" style="66" customWidth="1"/>
    <col min="12" max="12" width="11.8515625" style="66" customWidth="1"/>
    <col min="13" max="13" width="0.5625" style="66" hidden="1" customWidth="1"/>
    <col min="14" max="14" width="14.140625" style="77" bestFit="1" customWidth="1"/>
    <col min="15" max="15" width="12.421875" style="66" customWidth="1"/>
    <col min="16" max="16" width="0.42578125" style="66" hidden="1" customWidth="1"/>
    <col min="17" max="17" width="17.57421875" style="66" bestFit="1" customWidth="1"/>
    <col min="18" max="18" width="0.9921875" style="66" customWidth="1"/>
    <col min="19" max="19" width="12.28125" style="66" customWidth="1"/>
    <col min="20" max="20" width="14.140625" style="5" bestFit="1" customWidth="1"/>
    <col min="21" max="21" width="9.8515625" style="5" bestFit="1" customWidth="1"/>
    <col min="22" max="62" width="7.57421875" style="5" customWidth="1"/>
    <col min="63" max="16384" width="7.57421875" style="66" customWidth="1"/>
  </cols>
  <sheetData>
    <row r="1" spans="1:19" ht="15">
      <c r="A1" s="72" t="s">
        <v>711</v>
      </c>
      <c r="B1" s="99" t="s">
        <v>216</v>
      </c>
      <c r="Q1" s="15">
        <v>2006</v>
      </c>
      <c r="R1" s="5"/>
      <c r="S1" s="9">
        <v>2005</v>
      </c>
    </row>
    <row r="2" spans="1:19" ht="15" customHeight="1">
      <c r="A2" s="67"/>
      <c r="B2" s="99" t="s">
        <v>217</v>
      </c>
      <c r="Q2" s="5"/>
      <c r="R2" s="15" t="s">
        <v>832</v>
      </c>
      <c r="S2" s="5"/>
    </row>
    <row r="3" spans="3:4" ht="9.75" customHeight="1">
      <c r="C3" s="94"/>
      <c r="D3" s="94"/>
    </row>
    <row r="4" ht="15" customHeight="1">
      <c r="B4" s="6" t="s">
        <v>84</v>
      </c>
    </row>
    <row r="5" spans="2:19" ht="15">
      <c r="B5" s="5" t="s">
        <v>359</v>
      </c>
      <c r="Q5" s="69">
        <f>'[1]BS Breakup'!$F$154/1000</f>
        <v>39616.00478</v>
      </c>
      <c r="R5" s="51"/>
      <c r="S5" s="3">
        <v>39616</v>
      </c>
    </row>
    <row r="6" spans="2:19" ht="15">
      <c r="B6" s="5" t="s">
        <v>360</v>
      </c>
      <c r="Q6" s="231">
        <f>'[1]BS Breakup'!$F$155/1000</f>
        <v>837.29044</v>
      </c>
      <c r="R6" s="51"/>
      <c r="S6" s="52">
        <v>837</v>
      </c>
    </row>
    <row r="7" spans="2:19" ht="15">
      <c r="B7" s="5"/>
      <c r="Q7" s="142">
        <f>SUM(Q5:Q6)</f>
        <v>40453.29522</v>
      </c>
      <c r="R7" s="51"/>
      <c r="S7" s="62">
        <f>SUM(S5:S6)</f>
        <v>40453</v>
      </c>
    </row>
    <row r="8" spans="2:19" ht="15">
      <c r="B8" s="6" t="s">
        <v>325</v>
      </c>
      <c r="Q8" s="60"/>
      <c r="R8" s="51"/>
      <c r="S8" s="51"/>
    </row>
    <row r="9" spans="2:19" ht="8.25" customHeight="1">
      <c r="B9" s="6"/>
      <c r="Q9" s="60"/>
      <c r="R9" s="51"/>
      <c r="S9" s="51"/>
    </row>
    <row r="10" spans="2:19" ht="15">
      <c r="B10" s="5" t="s">
        <v>361</v>
      </c>
      <c r="Q10" s="141">
        <f>'[1]BS Breakup'!$H$161/1000</f>
        <v>819924.00182</v>
      </c>
      <c r="R10" s="51"/>
      <c r="S10" s="255">
        <v>819924</v>
      </c>
    </row>
    <row r="11" spans="2:19" ht="15">
      <c r="B11" s="5" t="s">
        <v>362</v>
      </c>
      <c r="O11" s="40" t="s">
        <v>290</v>
      </c>
      <c r="Q11" s="256">
        <f>'[1]BS Breakup'!$H$164/1000</f>
        <v>3513671.02181</v>
      </c>
      <c r="R11" s="51"/>
      <c r="S11" s="257">
        <v>3221784</v>
      </c>
    </row>
    <row r="12" spans="17:19" ht="15">
      <c r="Q12" s="145">
        <f>+Q11+Q10</f>
        <v>4333595.02363</v>
      </c>
      <c r="R12" s="51"/>
      <c r="S12" s="64">
        <f>+S11+S10</f>
        <v>4041708</v>
      </c>
    </row>
    <row r="13" spans="17:19" ht="15.75" thickBot="1">
      <c r="Q13" s="264">
        <f>Q7+Q12</f>
        <v>4374048.318849999</v>
      </c>
      <c r="R13" s="51"/>
      <c r="S13" s="271">
        <f>S7+S12</f>
        <v>4082161</v>
      </c>
    </row>
    <row r="14" spans="1:2" ht="15.75" thickTop="1">
      <c r="A14" s="72" t="s">
        <v>290</v>
      </c>
      <c r="B14" s="66" t="s">
        <v>690</v>
      </c>
    </row>
    <row r="15" ht="9.75" customHeight="1"/>
    <row r="16" spans="1:2" ht="15">
      <c r="A16" s="72" t="s">
        <v>298</v>
      </c>
      <c r="B16" s="66" t="s">
        <v>393</v>
      </c>
    </row>
    <row r="17" ht="9.75" customHeight="1"/>
    <row r="18" spans="1:2" ht="15">
      <c r="A18" s="72" t="s">
        <v>771</v>
      </c>
      <c r="B18" s="99" t="s">
        <v>380</v>
      </c>
    </row>
    <row r="19" ht="8.25" customHeight="1"/>
    <row r="20" spans="1:19" ht="15">
      <c r="A20" s="72" t="s">
        <v>938</v>
      </c>
      <c r="B20" s="5" t="s">
        <v>381</v>
      </c>
      <c r="O20" s="40" t="s">
        <v>938</v>
      </c>
      <c r="Q20" s="69">
        <f>Q56</f>
        <v>18974303</v>
      </c>
      <c r="R20" s="51"/>
      <c r="S20" s="3">
        <v>6429272</v>
      </c>
    </row>
    <row r="21" spans="2:19" ht="15">
      <c r="B21" s="5" t="s">
        <v>382</v>
      </c>
      <c r="O21" s="40" t="s">
        <v>299</v>
      </c>
      <c r="Q21" s="231">
        <f>'NOTE 17.3 - 20'!L25</f>
        <v>393549</v>
      </c>
      <c r="R21" s="51"/>
      <c r="S21" s="52">
        <v>513841</v>
      </c>
    </row>
    <row r="22" spans="2:19" ht="15.75" thickBot="1">
      <c r="B22" s="5"/>
      <c r="Q22" s="233">
        <f>SUM(Q20:Q21)</f>
        <v>19367852</v>
      </c>
      <c r="R22" s="51"/>
      <c r="S22" s="234">
        <f>SUM(S20:S21)</f>
        <v>6943113</v>
      </c>
    </row>
    <row r="23" ht="9.75" customHeight="1" thickTop="1"/>
    <row r="24" spans="1:19" ht="15" customHeight="1">
      <c r="A24" s="72"/>
      <c r="B24" s="99"/>
      <c r="C24" s="514">
        <v>2006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</row>
    <row r="25" spans="2:4" ht="15">
      <c r="B25" s="96"/>
      <c r="C25" s="96"/>
      <c r="D25" s="96"/>
    </row>
    <row r="26" spans="2:19" ht="44.25" customHeight="1">
      <c r="B26" s="517" t="s">
        <v>985</v>
      </c>
      <c r="C26" s="512" t="s">
        <v>11</v>
      </c>
      <c r="D26" s="196"/>
      <c r="E26" s="513" t="s">
        <v>734</v>
      </c>
      <c r="F26" s="512" t="s">
        <v>246</v>
      </c>
      <c r="G26" s="512" t="s">
        <v>247</v>
      </c>
      <c r="H26" s="512" t="s">
        <v>625</v>
      </c>
      <c r="I26" s="196"/>
      <c r="J26" s="512" t="s">
        <v>12</v>
      </c>
      <c r="K26" s="196"/>
      <c r="L26" s="512" t="s">
        <v>619</v>
      </c>
      <c r="M26" s="196"/>
      <c r="N26" s="512" t="s">
        <v>246</v>
      </c>
      <c r="O26" s="512" t="s">
        <v>626</v>
      </c>
      <c r="P26" s="196"/>
      <c r="Q26" s="512" t="s">
        <v>624</v>
      </c>
      <c r="R26" s="196"/>
      <c r="S26" s="512" t="s">
        <v>560</v>
      </c>
    </row>
    <row r="27" spans="2:19" ht="15">
      <c r="B27" s="517"/>
      <c r="C27" s="512"/>
      <c r="D27" s="196"/>
      <c r="E27" s="513"/>
      <c r="F27" s="512"/>
      <c r="G27" s="512"/>
      <c r="H27" s="512"/>
      <c r="I27" s="196"/>
      <c r="J27" s="512"/>
      <c r="K27" s="196"/>
      <c r="L27" s="512"/>
      <c r="M27" s="196"/>
      <c r="N27" s="512"/>
      <c r="O27" s="512"/>
      <c r="P27" s="196"/>
      <c r="Q27" s="512"/>
      <c r="R27" s="196"/>
      <c r="S27" s="512"/>
    </row>
    <row r="28" spans="2:19" ht="9" customHeight="1">
      <c r="B28" s="165"/>
      <c r="C28" s="511" t="s">
        <v>543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166"/>
      <c r="S28" s="166"/>
    </row>
    <row r="29" spans="2:19" ht="9.75" customHeight="1">
      <c r="B29" s="295"/>
      <c r="C29" s="294"/>
      <c r="D29" s="294"/>
      <c r="E29" s="296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166"/>
      <c r="S29" s="166"/>
    </row>
    <row r="30" spans="2:19" ht="12.75" customHeight="1">
      <c r="B30" s="295" t="s">
        <v>100</v>
      </c>
      <c r="C30" s="297">
        <v>827382</v>
      </c>
      <c r="D30" s="297"/>
      <c r="E30" s="297">
        <f>-18750-750</f>
        <v>-19500</v>
      </c>
      <c r="F30" s="297">
        <v>0</v>
      </c>
      <c r="G30" s="297">
        <f>2768415+750</f>
        <v>2769165</v>
      </c>
      <c r="H30" s="297">
        <f>C30+E30+E31+F30+G30</f>
        <v>3577047</v>
      </c>
      <c r="I30" s="299"/>
      <c r="J30" s="195">
        <v>0</v>
      </c>
      <c r="K30" s="299"/>
      <c r="L30" s="297">
        <v>0</v>
      </c>
      <c r="M30" s="299"/>
      <c r="N30" s="299">
        <v>0</v>
      </c>
      <c r="O30" s="195">
        <f>J30+L30+L31</f>
        <v>0</v>
      </c>
      <c r="P30" s="299"/>
      <c r="Q30" s="195">
        <f>H30-O30</f>
        <v>3577047</v>
      </c>
      <c r="R30" s="166"/>
      <c r="S30" s="301" t="s">
        <v>671</v>
      </c>
    </row>
    <row r="31" spans="2:19" ht="12.75" customHeight="1">
      <c r="B31" s="295"/>
      <c r="C31" s="297"/>
      <c r="D31" s="297"/>
      <c r="E31" s="297"/>
      <c r="F31" s="297"/>
      <c r="G31" s="297"/>
      <c r="H31" s="297"/>
      <c r="I31" s="299"/>
      <c r="J31" s="297"/>
      <c r="K31" s="299"/>
      <c r="L31" s="297"/>
      <c r="M31" s="299"/>
      <c r="N31" s="299"/>
      <c r="O31" s="297"/>
      <c r="P31" s="299"/>
      <c r="Q31" s="297"/>
      <c r="R31" s="166"/>
      <c r="S31" s="302"/>
    </row>
    <row r="32" spans="2:19" ht="7.5" customHeight="1">
      <c r="B32" s="295"/>
      <c r="C32" s="297"/>
      <c r="D32" s="297"/>
      <c r="E32" s="297"/>
      <c r="F32" s="297"/>
      <c r="G32" s="297"/>
      <c r="H32" s="297"/>
      <c r="I32" s="299"/>
      <c r="J32" s="297"/>
      <c r="K32" s="299"/>
      <c r="L32" s="297"/>
      <c r="M32" s="299"/>
      <c r="N32" s="299"/>
      <c r="O32" s="297"/>
      <c r="P32" s="299"/>
      <c r="Q32" s="297"/>
      <c r="R32" s="166"/>
      <c r="S32" s="165"/>
    </row>
    <row r="33" spans="2:19" ht="12.75" customHeight="1">
      <c r="B33" s="295" t="s">
        <v>101</v>
      </c>
      <c r="C33" s="297">
        <v>4603327</v>
      </c>
      <c r="D33" s="297"/>
      <c r="E33" s="297">
        <v>0</v>
      </c>
      <c r="F33" s="297">
        <v>-520889</v>
      </c>
      <c r="G33" s="297">
        <f>8137127+542640</f>
        <v>8679767</v>
      </c>
      <c r="H33" s="297">
        <f>C33+E33+E34+F33+G33</f>
        <v>12762205</v>
      </c>
      <c r="I33" s="299"/>
      <c r="J33" s="297">
        <v>428476</v>
      </c>
      <c r="K33" s="297"/>
      <c r="L33" s="297">
        <v>92413</v>
      </c>
      <c r="M33" s="297"/>
      <c r="N33" s="297">
        <f>F33</f>
        <v>-520889</v>
      </c>
      <c r="O33" s="297">
        <f>J33+L33+N33</f>
        <v>0</v>
      </c>
      <c r="P33" s="299"/>
      <c r="Q33" s="297">
        <f>H33-O33</f>
        <v>12762205</v>
      </c>
      <c r="R33" s="196"/>
      <c r="S33" s="516" t="s">
        <v>646</v>
      </c>
    </row>
    <row r="34" spans="2:19" ht="12.75" customHeight="1">
      <c r="B34" s="295"/>
      <c r="C34" s="297"/>
      <c r="D34" s="297"/>
      <c r="E34" s="297"/>
      <c r="F34" s="297"/>
      <c r="G34" s="297"/>
      <c r="H34" s="297"/>
      <c r="I34" s="299"/>
      <c r="J34" s="297"/>
      <c r="K34" s="297"/>
      <c r="L34" s="297"/>
      <c r="M34" s="297"/>
      <c r="N34" s="297"/>
      <c r="O34" s="297"/>
      <c r="P34" s="299"/>
      <c r="Q34" s="297"/>
      <c r="R34" s="196"/>
      <c r="S34" s="516"/>
    </row>
    <row r="35" spans="2:19" ht="6.75" customHeight="1">
      <c r="B35" s="295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166"/>
      <c r="S35" s="298"/>
    </row>
    <row r="36" spans="2:19" ht="12.75" customHeight="1">
      <c r="B36" s="295" t="s">
        <v>504</v>
      </c>
      <c r="C36" s="297">
        <v>781962</v>
      </c>
      <c r="D36" s="297"/>
      <c r="E36" s="297">
        <f>8529+750</f>
        <v>9279</v>
      </c>
      <c r="F36" s="297">
        <v>-330659</v>
      </c>
      <c r="G36" s="297">
        <f>480996-750</f>
        <v>480246</v>
      </c>
      <c r="H36" s="297">
        <f>C36+E36+E37+F36+G36</f>
        <v>940828</v>
      </c>
      <c r="I36" s="297"/>
      <c r="J36" s="297">
        <v>285451</v>
      </c>
      <c r="K36" s="297"/>
      <c r="L36" s="297">
        <f>45429-221</f>
        <v>45208</v>
      </c>
      <c r="M36" s="297"/>
      <c r="N36" s="297">
        <f>F36</f>
        <v>-330659</v>
      </c>
      <c r="O36" s="297">
        <f>N36+L36+J36</f>
        <v>0</v>
      </c>
      <c r="P36" s="299"/>
      <c r="Q36" s="297">
        <f>H36-O36</f>
        <v>940828</v>
      </c>
      <c r="R36" s="166"/>
      <c r="S36" s="303" t="s">
        <v>329</v>
      </c>
    </row>
    <row r="37" spans="2:19" ht="12.75" customHeight="1">
      <c r="B37" s="295"/>
      <c r="C37" s="297"/>
      <c r="D37" s="297"/>
      <c r="E37" s="297">
        <v>0</v>
      </c>
      <c r="F37" s="297"/>
      <c r="G37" s="297"/>
      <c r="H37" s="297"/>
      <c r="I37" s="297"/>
      <c r="J37" s="297"/>
      <c r="K37" s="297"/>
      <c r="L37" s="297">
        <v>0</v>
      </c>
      <c r="M37" s="297"/>
      <c r="N37" s="297"/>
      <c r="O37" s="297"/>
      <c r="P37" s="299"/>
      <c r="Q37" s="297"/>
      <c r="R37" s="166"/>
      <c r="S37" s="303"/>
    </row>
    <row r="38" spans="2:19" ht="6.75" customHeight="1">
      <c r="B38" s="295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166"/>
      <c r="S38" s="304"/>
    </row>
    <row r="39" spans="2:19" ht="12.75" customHeight="1">
      <c r="B39" s="295" t="s">
        <v>505</v>
      </c>
      <c r="C39" s="297">
        <v>1064676</v>
      </c>
      <c r="D39" s="297"/>
      <c r="E39" s="297">
        <f>63841+43413</f>
        <v>107254</v>
      </c>
      <c r="F39" s="297">
        <v>-392106</v>
      </c>
      <c r="G39" s="297">
        <v>623333</v>
      </c>
      <c r="H39" s="297">
        <f>C39+E39+E40+F39+G39</f>
        <v>1403157</v>
      </c>
      <c r="I39" s="297"/>
      <c r="J39" s="297">
        <v>311092</v>
      </c>
      <c r="K39" s="297"/>
      <c r="L39" s="297">
        <f>80791+223</f>
        <v>81014</v>
      </c>
      <c r="M39" s="297"/>
      <c r="N39" s="297">
        <f>F39</f>
        <v>-392106</v>
      </c>
      <c r="O39" s="297">
        <f>N39+L39+J39</f>
        <v>0</v>
      </c>
      <c r="P39" s="299"/>
      <c r="Q39" s="297">
        <f>H39-O39</f>
        <v>1403157</v>
      </c>
      <c r="R39" s="293"/>
      <c r="S39" s="303" t="s">
        <v>329</v>
      </c>
    </row>
    <row r="40" spans="2:19" ht="12.75" customHeight="1">
      <c r="B40" s="295"/>
      <c r="C40" s="297"/>
      <c r="D40" s="297"/>
      <c r="E40" s="297">
        <v>0</v>
      </c>
      <c r="F40" s="297"/>
      <c r="G40" s="297"/>
      <c r="H40" s="297"/>
      <c r="I40" s="297"/>
      <c r="J40" s="297"/>
      <c r="K40" s="297"/>
      <c r="L40" s="305">
        <v>0</v>
      </c>
      <c r="M40" s="297"/>
      <c r="N40" s="297"/>
      <c r="O40" s="297"/>
      <c r="P40" s="297"/>
      <c r="Q40" s="297"/>
      <c r="R40" s="166"/>
      <c r="S40" s="304"/>
    </row>
    <row r="41" spans="2:19" ht="7.5" customHeight="1">
      <c r="B41" s="295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166"/>
      <c r="S41" s="304"/>
    </row>
    <row r="42" spans="2:19" ht="12.75" customHeight="1">
      <c r="B42" s="295" t="s">
        <v>99</v>
      </c>
      <c r="C42" s="297">
        <v>65785</v>
      </c>
      <c r="D42" s="297"/>
      <c r="E42" s="297">
        <v>15656</v>
      </c>
      <c r="F42" s="297">
        <v>0</v>
      </c>
      <c r="G42" s="297">
        <v>0</v>
      </c>
      <c r="H42" s="297">
        <f>C42+E42+E43+F42+G42</f>
        <v>81422</v>
      </c>
      <c r="I42" s="297"/>
      <c r="J42" s="297">
        <v>19297</v>
      </c>
      <c r="K42" s="297"/>
      <c r="L42" s="297">
        <v>8233</v>
      </c>
      <c r="M42" s="297"/>
      <c r="N42" s="297">
        <v>0</v>
      </c>
      <c r="O42" s="297">
        <f>J42+L42+L44</f>
        <v>27530</v>
      </c>
      <c r="P42" s="299"/>
      <c r="Q42" s="297">
        <f>H42-O42</f>
        <v>53892</v>
      </c>
      <c r="R42" s="166"/>
      <c r="S42" s="306">
        <v>10</v>
      </c>
    </row>
    <row r="43" spans="2:19" ht="12.75" customHeight="1">
      <c r="B43" s="295"/>
      <c r="C43" s="297"/>
      <c r="D43" s="297"/>
      <c r="E43" s="297">
        <v>-19</v>
      </c>
      <c r="F43" s="297"/>
      <c r="G43" s="297"/>
      <c r="H43" s="297"/>
      <c r="I43" s="297"/>
      <c r="J43" s="297"/>
      <c r="K43" s="297"/>
      <c r="L43" s="297">
        <v>0</v>
      </c>
      <c r="M43" s="297"/>
      <c r="N43" s="297"/>
      <c r="O43" s="297"/>
      <c r="P43" s="299"/>
      <c r="Q43" s="297"/>
      <c r="R43" s="166"/>
      <c r="S43" s="306"/>
    </row>
    <row r="44" spans="2:19" ht="7.5" customHeight="1">
      <c r="B44" s="295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9"/>
      <c r="Q44" s="297"/>
      <c r="R44" s="166"/>
      <c r="S44" s="306"/>
    </row>
    <row r="45" spans="2:19" ht="12.75" customHeight="1">
      <c r="B45" s="295" t="s">
        <v>102</v>
      </c>
      <c r="C45" s="297">
        <v>118034</v>
      </c>
      <c r="D45" s="297"/>
      <c r="E45" s="297">
        <v>57475</v>
      </c>
      <c r="F45" s="297">
        <v>0</v>
      </c>
      <c r="G45" s="297">
        <v>0</v>
      </c>
      <c r="H45" s="297">
        <f>C45+E45+E46+F45+G45</f>
        <v>175148</v>
      </c>
      <c r="I45" s="297"/>
      <c r="J45" s="297">
        <v>84211</v>
      </c>
      <c r="K45" s="297"/>
      <c r="L45" s="297">
        <v>23732</v>
      </c>
      <c r="M45" s="297"/>
      <c r="N45" s="297">
        <v>0</v>
      </c>
      <c r="O45" s="297">
        <f>J45+L45+L46+L47</f>
        <v>107602</v>
      </c>
      <c r="P45" s="299"/>
      <c r="Q45" s="297">
        <f>H45-O45</f>
        <v>67546</v>
      </c>
      <c r="R45" s="166"/>
      <c r="S45" s="307">
        <v>20</v>
      </c>
    </row>
    <row r="46" spans="2:19" ht="12.75" customHeight="1">
      <c r="B46" s="295"/>
      <c r="C46" s="297"/>
      <c r="D46" s="297"/>
      <c r="E46" s="297">
        <v>-361</v>
      </c>
      <c r="F46" s="297"/>
      <c r="G46" s="297"/>
      <c r="H46" s="297"/>
      <c r="I46" s="297"/>
      <c r="J46" s="297"/>
      <c r="K46" s="297"/>
      <c r="L46" s="297">
        <v>-341</v>
      </c>
      <c r="M46" s="297"/>
      <c r="N46" s="297"/>
      <c r="O46" s="297"/>
      <c r="P46" s="299"/>
      <c r="Q46" s="297"/>
      <c r="R46" s="166"/>
      <c r="S46" s="307"/>
    </row>
    <row r="47" spans="2:19" ht="7.5" customHeight="1">
      <c r="B47" s="295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9"/>
      <c r="Q47" s="297"/>
      <c r="R47" s="166"/>
      <c r="S47" s="307"/>
    </row>
    <row r="48" spans="2:19" ht="9" customHeight="1">
      <c r="B48" s="295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166"/>
      <c r="S48" s="304"/>
    </row>
    <row r="49" spans="2:19" ht="12.75" customHeight="1">
      <c r="B49" s="295" t="s">
        <v>324</v>
      </c>
      <c r="C49" s="297">
        <v>567143</v>
      </c>
      <c r="D49" s="297"/>
      <c r="E49" s="297">
        <v>180827</v>
      </c>
      <c r="F49" s="297">
        <v>0</v>
      </c>
      <c r="G49" s="297">
        <v>0</v>
      </c>
      <c r="H49" s="297">
        <f>C49+E49+E50+F49+G49</f>
        <v>696694</v>
      </c>
      <c r="I49" s="297"/>
      <c r="J49" s="297">
        <v>516316</v>
      </c>
      <c r="K49" s="297"/>
      <c r="L49" s="297">
        <v>65948</v>
      </c>
      <c r="M49" s="297"/>
      <c r="N49" s="297">
        <v>0</v>
      </c>
      <c r="O49" s="297">
        <f>J49+L49+L50</f>
        <v>582262</v>
      </c>
      <c r="P49" s="299"/>
      <c r="Q49" s="297">
        <f>H49-O49</f>
        <v>114432</v>
      </c>
      <c r="R49" s="166"/>
      <c r="S49" s="303" t="s">
        <v>338</v>
      </c>
    </row>
    <row r="50" spans="2:19" ht="12.75" customHeight="1">
      <c r="B50" s="295"/>
      <c r="C50" s="297"/>
      <c r="D50" s="297"/>
      <c r="E50" s="297">
        <v>-51276</v>
      </c>
      <c r="F50" s="297"/>
      <c r="G50" s="297"/>
      <c r="H50" s="297"/>
      <c r="I50" s="297"/>
      <c r="J50" s="297"/>
      <c r="K50" s="297"/>
      <c r="L50" s="297">
        <v>-2</v>
      </c>
      <c r="M50" s="297"/>
      <c r="N50" s="297"/>
      <c r="O50" s="297"/>
      <c r="P50" s="297"/>
      <c r="Q50" s="297"/>
      <c r="R50" s="166"/>
      <c r="S50" s="304"/>
    </row>
    <row r="51" spans="2:19" ht="12.75" customHeight="1">
      <c r="B51" s="295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166"/>
      <c r="S51" s="304"/>
    </row>
    <row r="52" spans="2:19" ht="8.25" customHeight="1">
      <c r="B52" s="29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166"/>
      <c r="S52" s="304"/>
    </row>
    <row r="53" spans="2:19" ht="12.75" customHeight="1">
      <c r="B53" s="295" t="s">
        <v>103</v>
      </c>
      <c r="C53" s="297">
        <v>82671</v>
      </c>
      <c r="D53" s="297"/>
      <c r="E53" s="297">
        <v>29434</v>
      </c>
      <c r="F53" s="297">
        <v>0</v>
      </c>
      <c r="G53" s="297">
        <v>0</v>
      </c>
      <c r="H53" s="297">
        <f>C53+E53+E54+F53+G53</f>
        <v>97862</v>
      </c>
      <c r="I53" s="297"/>
      <c r="J53" s="297">
        <v>36865</v>
      </c>
      <c r="K53" s="297"/>
      <c r="L53" s="297">
        <v>15481</v>
      </c>
      <c r="M53" s="297"/>
      <c r="N53" s="297">
        <v>0</v>
      </c>
      <c r="O53" s="297">
        <f>J53+L53+L54</f>
        <v>42666</v>
      </c>
      <c r="P53" s="299"/>
      <c r="Q53" s="297">
        <f>H53-O53</f>
        <v>55196</v>
      </c>
      <c r="R53" s="166"/>
      <c r="S53" s="303" t="s">
        <v>330</v>
      </c>
    </row>
    <row r="54" spans="2:19" ht="12.75" customHeight="1">
      <c r="B54" s="295"/>
      <c r="C54" s="297"/>
      <c r="D54" s="297"/>
      <c r="E54" s="297">
        <v>-14243</v>
      </c>
      <c r="F54" s="297"/>
      <c r="G54" s="297"/>
      <c r="H54" s="297"/>
      <c r="I54" s="297"/>
      <c r="J54" s="297"/>
      <c r="K54" s="297"/>
      <c r="L54" s="297">
        <v>-9680</v>
      </c>
      <c r="M54" s="297"/>
      <c r="N54" s="297"/>
      <c r="O54" s="297"/>
      <c r="P54" s="299"/>
      <c r="Q54" s="297"/>
      <c r="R54" s="166"/>
      <c r="S54" s="303"/>
    </row>
    <row r="55" spans="2:19" ht="7.5" customHeight="1">
      <c r="B55" s="295"/>
      <c r="C55" s="308"/>
      <c r="D55" s="297"/>
      <c r="E55" s="308"/>
      <c r="F55" s="297"/>
      <c r="G55" s="297"/>
      <c r="H55" s="308"/>
      <c r="I55" s="297"/>
      <c r="J55" s="308"/>
      <c r="K55" s="297"/>
      <c r="L55" s="308"/>
      <c r="M55" s="297"/>
      <c r="N55" s="297"/>
      <c r="O55" s="308"/>
      <c r="P55" s="299"/>
      <c r="Q55" s="308"/>
      <c r="R55" s="166"/>
      <c r="S55" s="309"/>
    </row>
    <row r="56" spans="2:21" ht="12" customHeight="1">
      <c r="B56" s="310"/>
      <c r="C56" s="311">
        <f>SUM(C30:C55)</f>
        <v>8110980</v>
      </c>
      <c r="D56" s="311"/>
      <c r="E56" s="311">
        <f>+E53+E49+E45+E42+E39+E36+E33</f>
        <v>399925</v>
      </c>
      <c r="F56" s="432">
        <f>F30+F33+F36+F39+F42+F45+F49+F53</f>
        <v>-1243654</v>
      </c>
      <c r="G56" s="432">
        <f>G30+G33+G36+G39+G42+G45+G49+G53</f>
        <v>12552511</v>
      </c>
      <c r="H56" s="311">
        <f>SUM(H30:H55)</f>
        <v>19734363</v>
      </c>
      <c r="I56" s="311"/>
      <c r="J56" s="311">
        <f>SUM(J33:J55)</f>
        <v>1681708</v>
      </c>
      <c r="K56" s="311"/>
      <c r="L56" s="311">
        <f>+L53+L49+L45+L42+L39+L36+L30+L33</f>
        <v>332029</v>
      </c>
      <c r="M56" s="311"/>
      <c r="N56" s="432">
        <f>N30+N33+N36+N39+N42+N45+N49+N53</f>
        <v>-1243654</v>
      </c>
      <c r="O56" s="311">
        <f>SUM(O33:O55)</f>
        <v>760060</v>
      </c>
      <c r="P56" s="311"/>
      <c r="Q56" s="311">
        <f>SUM(Q30:Q55)</f>
        <v>18974303</v>
      </c>
      <c r="R56" s="166"/>
      <c r="S56" s="309"/>
      <c r="U56" s="95"/>
    </row>
    <row r="57" spans="2:62" s="100" customFormat="1" ht="12" customHeight="1" thickBot="1">
      <c r="B57" s="312"/>
      <c r="C57" s="315"/>
      <c r="D57" s="313"/>
      <c r="E57" s="315">
        <f>E31+E34+E38+E40+E44+E46+E50+E54+E43+E30</f>
        <v>-85399</v>
      </c>
      <c r="F57" s="315"/>
      <c r="G57" s="315"/>
      <c r="H57" s="315"/>
      <c r="I57" s="313"/>
      <c r="J57" s="315"/>
      <c r="K57" s="313"/>
      <c r="L57" s="315">
        <f>L31+L34+L38+L40+L44+L46+L54+L50</f>
        <v>-10023</v>
      </c>
      <c r="M57" s="314"/>
      <c r="N57" s="315"/>
      <c r="O57" s="315"/>
      <c r="P57" s="313"/>
      <c r="Q57" s="315"/>
      <c r="R57" s="196"/>
      <c r="S57" s="309"/>
      <c r="T57" s="10"/>
      <c r="U57" s="21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2:19" ht="12" customHeight="1" hidden="1">
      <c r="B58" s="295"/>
      <c r="C58" s="313"/>
      <c r="D58" s="313"/>
      <c r="E58" s="313"/>
      <c r="F58" s="314"/>
      <c r="G58" s="314"/>
      <c r="H58" s="313"/>
      <c r="I58" s="313"/>
      <c r="J58" s="313"/>
      <c r="K58" s="313"/>
      <c r="L58" s="313"/>
      <c r="M58" s="313"/>
      <c r="N58" s="314"/>
      <c r="O58" s="313"/>
      <c r="P58" s="313"/>
      <c r="Q58" s="313"/>
      <c r="R58" s="166"/>
      <c r="S58" s="309"/>
    </row>
    <row r="59" spans="2:19" ht="12.75" customHeight="1" hidden="1">
      <c r="B59" s="295"/>
      <c r="C59" s="297"/>
      <c r="D59" s="297"/>
      <c r="E59" s="297"/>
      <c r="F59" s="298"/>
      <c r="G59" s="298"/>
      <c r="H59" s="297"/>
      <c r="I59" s="297"/>
      <c r="J59" s="297"/>
      <c r="K59" s="297"/>
      <c r="L59" s="297"/>
      <c r="M59" s="297"/>
      <c r="N59" s="298"/>
      <c r="O59" s="297"/>
      <c r="P59" s="297"/>
      <c r="Q59" s="297"/>
      <c r="R59" s="166"/>
      <c r="S59" s="166"/>
    </row>
    <row r="60" spans="2:19" ht="15.75" customHeight="1" hidden="1" thickBot="1" thickTop="1">
      <c r="B60" s="295"/>
      <c r="C60" s="316"/>
      <c r="D60" s="299"/>
      <c r="E60" s="316"/>
      <c r="F60" s="300"/>
      <c r="G60" s="300"/>
      <c r="H60" s="316">
        <v>0</v>
      </c>
      <c r="I60" s="299"/>
      <c r="J60" s="316">
        <v>0</v>
      </c>
      <c r="K60" s="299"/>
      <c r="L60" s="316">
        <v>0</v>
      </c>
      <c r="M60" s="299"/>
      <c r="N60" s="300"/>
      <c r="O60" s="316">
        <v>0</v>
      </c>
      <c r="P60" s="299"/>
      <c r="Q60" s="316">
        <v>0</v>
      </c>
      <c r="R60" s="166"/>
      <c r="S60" s="317"/>
    </row>
    <row r="61" spans="2:19" ht="9.75" customHeight="1" thickTop="1">
      <c r="B61" s="295"/>
      <c r="C61" s="299"/>
      <c r="D61" s="299"/>
      <c r="E61" s="299"/>
      <c r="F61" s="300"/>
      <c r="G61" s="300"/>
      <c r="H61" s="299"/>
      <c r="I61" s="299"/>
      <c r="J61" s="299"/>
      <c r="K61" s="299"/>
      <c r="L61" s="299"/>
      <c r="M61" s="299"/>
      <c r="N61" s="300"/>
      <c r="O61" s="299"/>
      <c r="P61" s="299"/>
      <c r="Q61" s="299"/>
      <c r="R61" s="166"/>
      <c r="S61" s="317"/>
    </row>
    <row r="62" spans="2:19" ht="12.75" customHeight="1" hidden="1">
      <c r="B62" s="295"/>
      <c r="C62" s="299"/>
      <c r="D62" s="299"/>
      <c r="E62" s="297"/>
      <c r="F62" s="317"/>
      <c r="G62" s="317"/>
      <c r="H62" s="305"/>
      <c r="I62" s="305"/>
      <c r="J62" s="305"/>
      <c r="K62" s="299"/>
      <c r="L62" s="299"/>
      <c r="M62" s="299"/>
      <c r="N62" s="300"/>
      <c r="O62" s="299"/>
      <c r="P62" s="299"/>
      <c r="Q62" s="299"/>
      <c r="R62" s="166"/>
      <c r="S62" s="317"/>
    </row>
    <row r="63" spans="2:19" ht="15" customHeight="1">
      <c r="B63" s="310"/>
      <c r="C63" s="515">
        <v>2005</v>
      </c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</row>
    <row r="64" spans="2:19" ht="15" customHeight="1">
      <c r="B64" s="310"/>
      <c r="C64" s="370"/>
      <c r="D64" s="370"/>
      <c r="E64" s="198"/>
      <c r="F64" s="370"/>
      <c r="G64" s="370"/>
      <c r="H64" s="383"/>
      <c r="I64" s="165"/>
      <c r="J64" s="383"/>
      <c r="K64" s="370"/>
      <c r="L64" s="370"/>
      <c r="M64" s="370"/>
      <c r="N64" s="370"/>
      <c r="O64" s="370"/>
      <c r="P64" s="370"/>
      <c r="Q64" s="370"/>
      <c r="R64" s="166"/>
      <c r="S64" s="317"/>
    </row>
    <row r="65" spans="2:19" ht="15" customHeight="1">
      <c r="B65" s="295" t="s">
        <v>100</v>
      </c>
      <c r="C65" s="370">
        <v>807882</v>
      </c>
      <c r="D65" s="370"/>
      <c r="E65" s="198">
        <v>19500</v>
      </c>
      <c r="F65" s="370">
        <v>0</v>
      </c>
      <c r="G65" s="370">
        <v>0</v>
      </c>
      <c r="H65" s="383">
        <f>SUM(C65:G66)</f>
        <v>827382</v>
      </c>
      <c r="I65" s="165"/>
      <c r="J65" s="388">
        <v>0</v>
      </c>
      <c r="K65" s="370"/>
      <c r="L65" s="370">
        <v>0</v>
      </c>
      <c r="M65" s="370"/>
      <c r="N65" s="370">
        <v>0</v>
      </c>
      <c r="O65" s="370">
        <f>SUM(J65:N66)</f>
        <v>0</v>
      </c>
      <c r="P65" s="370"/>
      <c r="Q65" s="433">
        <f>H65-O65</f>
        <v>827382</v>
      </c>
      <c r="R65" s="166"/>
      <c r="S65" s="317"/>
    </row>
    <row r="66" spans="2:19" ht="6" customHeight="1">
      <c r="B66" s="295"/>
      <c r="C66" s="370"/>
      <c r="D66" s="370"/>
      <c r="E66" s="198">
        <v>0</v>
      </c>
      <c r="F66" s="370"/>
      <c r="G66" s="370"/>
      <c r="H66" s="383"/>
      <c r="I66" s="165"/>
      <c r="J66" s="383"/>
      <c r="K66" s="370"/>
      <c r="L66" s="370">
        <v>0</v>
      </c>
      <c r="M66" s="370"/>
      <c r="N66" s="370"/>
      <c r="O66" s="370"/>
      <c r="P66" s="370"/>
      <c r="Q66" s="370"/>
      <c r="R66" s="166"/>
      <c r="S66" s="317"/>
    </row>
    <row r="67" spans="2:19" ht="7.5" customHeight="1">
      <c r="B67" s="295"/>
      <c r="C67" s="370"/>
      <c r="D67" s="370"/>
      <c r="E67" s="198"/>
      <c r="F67" s="370"/>
      <c r="G67" s="370"/>
      <c r="H67" s="383"/>
      <c r="I67" s="165"/>
      <c r="J67" s="383"/>
      <c r="K67" s="370"/>
      <c r="L67" s="370"/>
      <c r="M67" s="370"/>
      <c r="N67" s="370"/>
      <c r="O67" s="370"/>
      <c r="P67" s="370"/>
      <c r="Q67" s="370"/>
      <c r="R67" s="166"/>
      <c r="S67" s="317"/>
    </row>
    <row r="68" spans="2:19" ht="15" customHeight="1">
      <c r="B68" s="295" t="s">
        <v>101</v>
      </c>
      <c r="C68" s="370">
        <v>4996893</v>
      </c>
      <c r="D68" s="370"/>
      <c r="E68" s="198">
        <v>0</v>
      </c>
      <c r="F68" s="370">
        <v>0</v>
      </c>
      <c r="G68" s="370">
        <v>0</v>
      </c>
      <c r="H68" s="383">
        <f>SUM(C68:G69)</f>
        <v>4603327</v>
      </c>
      <c r="I68" s="165"/>
      <c r="J68" s="383">
        <v>338397</v>
      </c>
      <c r="K68" s="370"/>
      <c r="L68" s="370">
        <v>109086</v>
      </c>
      <c r="M68" s="370"/>
      <c r="N68" s="370">
        <v>0</v>
      </c>
      <c r="O68" s="370">
        <f>SUM(J68:N69)</f>
        <v>428476</v>
      </c>
      <c r="P68" s="370"/>
      <c r="Q68" s="433">
        <f>H68-O68</f>
        <v>4174851</v>
      </c>
      <c r="R68" s="166"/>
      <c r="S68" s="516" t="s">
        <v>646</v>
      </c>
    </row>
    <row r="69" spans="2:19" ht="15" customHeight="1">
      <c r="B69" s="295"/>
      <c r="C69" s="370"/>
      <c r="D69" s="370"/>
      <c r="E69" s="198">
        <v>-393566</v>
      </c>
      <c r="F69" s="370"/>
      <c r="G69" s="370"/>
      <c r="H69" s="383"/>
      <c r="I69" s="165"/>
      <c r="J69" s="383"/>
      <c r="K69" s="370"/>
      <c r="L69" s="386">
        <v>-19007</v>
      </c>
      <c r="M69" s="370"/>
      <c r="N69" s="370"/>
      <c r="O69" s="370"/>
      <c r="P69" s="370"/>
      <c r="Q69" s="370"/>
      <c r="R69" s="166"/>
      <c r="S69" s="516"/>
    </row>
    <row r="70" spans="2:19" ht="7.5" customHeight="1">
      <c r="B70" s="295"/>
      <c r="C70" s="370"/>
      <c r="D70" s="370"/>
      <c r="E70" s="198"/>
      <c r="F70" s="370"/>
      <c r="G70" s="370"/>
      <c r="H70" s="383"/>
      <c r="I70" s="165"/>
      <c r="J70" s="383"/>
      <c r="K70" s="370"/>
      <c r="L70" s="370"/>
      <c r="M70" s="370"/>
      <c r="N70" s="370"/>
      <c r="O70" s="370"/>
      <c r="P70" s="370"/>
      <c r="Q70" s="370"/>
      <c r="R70" s="166"/>
      <c r="S70" s="298"/>
    </row>
    <row r="71" spans="2:19" ht="15" customHeight="1">
      <c r="B71" s="295" t="s">
        <v>504</v>
      </c>
      <c r="C71" s="370">
        <v>779969</v>
      </c>
      <c r="D71" s="370"/>
      <c r="E71" s="198">
        <v>1993</v>
      </c>
      <c r="F71" s="370">
        <v>0</v>
      </c>
      <c r="G71" s="370">
        <v>0</v>
      </c>
      <c r="H71" s="383">
        <f>SUM(C71:G72)</f>
        <v>781962</v>
      </c>
      <c r="I71" s="165"/>
      <c r="J71" s="383">
        <v>240478</v>
      </c>
      <c r="K71" s="370"/>
      <c r="L71" s="370">
        <v>44973</v>
      </c>
      <c r="M71" s="370"/>
      <c r="N71" s="370">
        <v>0</v>
      </c>
      <c r="O71" s="370">
        <f>SUM(J71:N72)</f>
        <v>285451</v>
      </c>
      <c r="P71" s="370"/>
      <c r="Q71" s="433">
        <f>H71-O71</f>
        <v>496511</v>
      </c>
      <c r="R71" s="166"/>
      <c r="S71" s="303" t="s">
        <v>329</v>
      </c>
    </row>
    <row r="72" spans="2:19" ht="15" customHeight="1">
      <c r="B72" s="295"/>
      <c r="C72" s="370"/>
      <c r="D72" s="370"/>
      <c r="E72" s="198">
        <v>0</v>
      </c>
      <c r="F72" s="370"/>
      <c r="G72" s="370"/>
      <c r="H72" s="383"/>
      <c r="I72" s="165"/>
      <c r="J72" s="383"/>
      <c r="K72" s="370"/>
      <c r="L72" s="370">
        <v>0</v>
      </c>
      <c r="M72" s="370"/>
      <c r="N72" s="370"/>
      <c r="O72" s="370"/>
      <c r="P72" s="370"/>
      <c r="Q72" s="370"/>
      <c r="R72" s="166"/>
      <c r="S72" s="303"/>
    </row>
    <row r="73" spans="2:19" ht="7.5" customHeight="1">
      <c r="B73" s="295"/>
      <c r="C73" s="370"/>
      <c r="D73" s="370"/>
      <c r="E73" s="198"/>
      <c r="F73" s="370"/>
      <c r="G73" s="370"/>
      <c r="H73" s="383"/>
      <c r="I73" s="165"/>
      <c r="J73" s="383"/>
      <c r="K73" s="370"/>
      <c r="L73" s="370"/>
      <c r="M73" s="370"/>
      <c r="N73" s="370"/>
      <c r="O73" s="370"/>
      <c r="P73" s="370"/>
      <c r="Q73" s="370"/>
      <c r="R73" s="166"/>
      <c r="S73" s="304"/>
    </row>
    <row r="74" spans="2:19" ht="15" customHeight="1">
      <c r="B74" s="295" t="s">
        <v>505</v>
      </c>
      <c r="C74" s="370">
        <v>1129773</v>
      </c>
      <c r="D74" s="370"/>
      <c r="E74" s="198">
        <v>5202</v>
      </c>
      <c r="F74" s="370">
        <v>0</v>
      </c>
      <c r="G74" s="370">
        <v>0</v>
      </c>
      <c r="H74" s="383">
        <f>SUM(C74:G75)</f>
        <v>1064676</v>
      </c>
      <c r="I74" s="165"/>
      <c r="J74" s="383">
        <v>272039</v>
      </c>
      <c r="K74" s="370"/>
      <c r="L74" s="370">
        <v>70651</v>
      </c>
      <c r="M74" s="370"/>
      <c r="N74" s="370">
        <v>0</v>
      </c>
      <c r="O74" s="370">
        <f>SUM(J74:N75)</f>
        <v>311092</v>
      </c>
      <c r="P74" s="370"/>
      <c r="Q74" s="433">
        <f>H74-O74</f>
        <v>753584</v>
      </c>
      <c r="R74" s="166"/>
      <c r="S74" s="303" t="s">
        <v>329</v>
      </c>
    </row>
    <row r="75" spans="2:19" ht="15" customHeight="1">
      <c r="B75" s="295"/>
      <c r="C75" s="370"/>
      <c r="D75" s="370"/>
      <c r="E75" s="198">
        <v>-70299</v>
      </c>
      <c r="F75" s="370"/>
      <c r="G75" s="370"/>
      <c r="H75" s="383"/>
      <c r="I75" s="165"/>
      <c r="J75" s="383"/>
      <c r="K75" s="370"/>
      <c r="L75" s="386">
        <v>-31598</v>
      </c>
      <c r="M75" s="370"/>
      <c r="N75" s="370"/>
      <c r="O75" s="370"/>
      <c r="P75" s="370"/>
      <c r="Q75" s="370"/>
      <c r="R75" s="166"/>
      <c r="S75" s="304"/>
    </row>
    <row r="76" spans="2:19" ht="7.5" customHeight="1">
      <c r="B76" s="295"/>
      <c r="C76" s="370"/>
      <c r="D76" s="370"/>
      <c r="E76" s="198"/>
      <c r="F76" s="370"/>
      <c r="G76" s="370"/>
      <c r="H76" s="383"/>
      <c r="I76" s="165"/>
      <c r="J76" s="383"/>
      <c r="K76" s="370"/>
      <c r="L76" s="370"/>
      <c r="M76" s="370"/>
      <c r="N76" s="370"/>
      <c r="O76" s="370"/>
      <c r="P76" s="370"/>
      <c r="Q76" s="370"/>
      <c r="R76" s="166"/>
      <c r="S76" s="304"/>
    </row>
    <row r="77" spans="2:19" ht="15" customHeight="1">
      <c r="B77" s="295" t="s">
        <v>99</v>
      </c>
      <c r="C77" s="370">
        <v>61525</v>
      </c>
      <c r="D77" s="370"/>
      <c r="E77" s="198">
        <v>4260</v>
      </c>
      <c r="F77" s="370">
        <v>0</v>
      </c>
      <c r="G77" s="370">
        <v>0</v>
      </c>
      <c r="H77" s="383">
        <f>SUM(C77:G78)</f>
        <v>65785</v>
      </c>
      <c r="I77" s="165"/>
      <c r="J77" s="383">
        <v>13029</v>
      </c>
      <c r="K77" s="370"/>
      <c r="L77" s="370">
        <v>6268</v>
      </c>
      <c r="M77" s="370"/>
      <c r="N77" s="370">
        <v>0</v>
      </c>
      <c r="O77" s="370">
        <f>SUM(J77:N78)</f>
        <v>19297</v>
      </c>
      <c r="P77" s="370"/>
      <c r="Q77" s="433">
        <f>H77-O77</f>
        <v>46488</v>
      </c>
      <c r="R77" s="166"/>
      <c r="S77" s="306">
        <v>10</v>
      </c>
    </row>
    <row r="78" spans="2:19" ht="15" customHeight="1">
      <c r="B78" s="295"/>
      <c r="C78" s="370"/>
      <c r="D78" s="370"/>
      <c r="E78" s="198">
        <v>0</v>
      </c>
      <c r="F78" s="370"/>
      <c r="G78" s="370"/>
      <c r="H78" s="383"/>
      <c r="I78" s="165"/>
      <c r="J78" s="383"/>
      <c r="K78" s="370"/>
      <c r="L78" s="370">
        <v>0</v>
      </c>
      <c r="M78" s="370"/>
      <c r="N78" s="370"/>
      <c r="O78" s="370"/>
      <c r="P78" s="370"/>
      <c r="Q78" s="370"/>
      <c r="R78" s="166"/>
      <c r="S78" s="306"/>
    </row>
    <row r="79" spans="2:19" ht="7.5" customHeight="1">
      <c r="B79" s="295"/>
      <c r="C79" s="370"/>
      <c r="D79" s="370"/>
      <c r="E79" s="198"/>
      <c r="F79" s="370"/>
      <c r="G79" s="370"/>
      <c r="H79" s="383"/>
      <c r="I79" s="165"/>
      <c r="J79" s="383"/>
      <c r="K79" s="370"/>
      <c r="L79" s="370"/>
      <c r="M79" s="370"/>
      <c r="N79" s="370"/>
      <c r="O79" s="370"/>
      <c r="P79" s="370"/>
      <c r="Q79" s="370"/>
      <c r="R79" s="166"/>
      <c r="S79" s="306"/>
    </row>
    <row r="80" spans="2:19" ht="15" customHeight="1">
      <c r="B80" s="295" t="s">
        <v>102</v>
      </c>
      <c r="C80" s="370">
        <v>100467</v>
      </c>
      <c r="D80" s="370"/>
      <c r="E80" s="198">
        <v>17615</v>
      </c>
      <c r="F80" s="370">
        <v>0</v>
      </c>
      <c r="G80" s="370">
        <v>0</v>
      </c>
      <c r="H80" s="383">
        <f>SUM(C80:G81)</f>
        <v>118034</v>
      </c>
      <c r="I80" s="165"/>
      <c r="J80" s="383">
        <v>72879</v>
      </c>
      <c r="K80" s="370"/>
      <c r="L80" s="370">
        <v>11379</v>
      </c>
      <c r="M80" s="370"/>
      <c r="N80" s="370">
        <v>0</v>
      </c>
      <c r="O80" s="370">
        <f>SUM(J80:N81)</f>
        <v>84211</v>
      </c>
      <c r="P80" s="370"/>
      <c r="Q80" s="433">
        <f>H80-O80</f>
        <v>33823</v>
      </c>
      <c r="R80" s="166"/>
      <c r="S80" s="307">
        <v>20</v>
      </c>
    </row>
    <row r="81" spans="2:19" ht="15" customHeight="1">
      <c r="B81" s="295"/>
      <c r="C81" s="370"/>
      <c r="D81" s="370"/>
      <c r="E81" s="198">
        <v>-48</v>
      </c>
      <c r="F81" s="370"/>
      <c r="G81" s="370"/>
      <c r="H81" s="383"/>
      <c r="I81" s="165"/>
      <c r="J81" s="383"/>
      <c r="K81" s="370"/>
      <c r="L81" s="386">
        <v>-47</v>
      </c>
      <c r="M81" s="370"/>
      <c r="N81" s="370"/>
      <c r="O81" s="370"/>
      <c r="P81" s="370"/>
      <c r="Q81" s="370"/>
      <c r="R81" s="166"/>
      <c r="S81" s="307"/>
    </row>
    <row r="82" spans="2:19" ht="7.5" customHeight="1">
      <c r="B82" s="295"/>
      <c r="C82" s="370"/>
      <c r="D82" s="370"/>
      <c r="E82" s="198"/>
      <c r="F82" s="370"/>
      <c r="G82" s="370"/>
      <c r="H82" s="383"/>
      <c r="I82" s="165"/>
      <c r="J82" s="383"/>
      <c r="K82" s="370"/>
      <c r="L82" s="370"/>
      <c r="M82" s="370"/>
      <c r="N82" s="370"/>
      <c r="O82" s="370"/>
      <c r="P82" s="370"/>
      <c r="Q82" s="370"/>
      <c r="R82" s="166"/>
      <c r="S82" s="307"/>
    </row>
    <row r="83" spans="2:19" ht="15" customHeight="1">
      <c r="B83" s="295"/>
      <c r="C83" s="370"/>
      <c r="D83" s="370"/>
      <c r="E83" s="198"/>
      <c r="F83" s="370"/>
      <c r="G83" s="370"/>
      <c r="H83" s="383"/>
      <c r="I83" s="165"/>
      <c r="J83" s="383"/>
      <c r="K83" s="370"/>
      <c r="L83" s="370"/>
      <c r="M83" s="370"/>
      <c r="N83" s="370"/>
      <c r="O83" s="370"/>
      <c r="P83" s="370"/>
      <c r="Q83" s="370"/>
      <c r="R83" s="166"/>
      <c r="S83" s="304"/>
    </row>
    <row r="84" spans="2:19" ht="15" customHeight="1">
      <c r="B84" s="295" t="s">
        <v>324</v>
      </c>
      <c r="C84" s="370">
        <v>458279</v>
      </c>
      <c r="D84" s="370"/>
      <c r="E84" s="198">
        <v>160485</v>
      </c>
      <c r="F84" s="370">
        <v>0</v>
      </c>
      <c r="G84" s="370">
        <v>0</v>
      </c>
      <c r="H84" s="383">
        <f>SUM(C84:G86)</f>
        <v>567143</v>
      </c>
      <c r="I84" s="165"/>
      <c r="J84" s="383">
        <v>424745</v>
      </c>
      <c r="K84" s="370"/>
      <c r="L84" s="370">
        <v>91613</v>
      </c>
      <c r="M84" s="370"/>
      <c r="N84" s="370">
        <v>0</v>
      </c>
      <c r="O84" s="370">
        <f>SUM(J84:N85)</f>
        <v>516316</v>
      </c>
      <c r="P84" s="370"/>
      <c r="Q84" s="433">
        <f>H84-O84</f>
        <v>50827</v>
      </c>
      <c r="R84" s="166"/>
      <c r="S84" s="303" t="s">
        <v>338</v>
      </c>
    </row>
    <row r="85" spans="2:19" ht="15" customHeight="1">
      <c r="B85" s="295"/>
      <c r="C85" s="370"/>
      <c r="D85" s="370"/>
      <c r="E85" s="198">
        <v>-427</v>
      </c>
      <c r="F85" s="370"/>
      <c r="G85" s="370"/>
      <c r="H85" s="383"/>
      <c r="I85" s="165"/>
      <c r="J85" s="383"/>
      <c r="K85" s="370"/>
      <c r="L85" s="386">
        <v>-42</v>
      </c>
      <c r="M85" s="370"/>
      <c r="N85" s="370"/>
      <c r="O85" s="370"/>
      <c r="P85" s="370"/>
      <c r="Q85" s="370"/>
      <c r="R85" s="166"/>
      <c r="S85" s="304"/>
    </row>
    <row r="86" spans="2:19" ht="15" customHeight="1">
      <c r="B86" s="295"/>
      <c r="C86" s="370"/>
      <c r="D86" s="370"/>
      <c r="E86" s="198">
        <v>-51194</v>
      </c>
      <c r="F86" s="370"/>
      <c r="G86" s="370"/>
      <c r="H86" s="383"/>
      <c r="I86" s="165"/>
      <c r="J86" s="383"/>
      <c r="K86" s="370"/>
      <c r="L86" s="370">
        <v>0</v>
      </c>
      <c r="M86" s="370"/>
      <c r="N86" s="370"/>
      <c r="O86" s="370"/>
      <c r="P86" s="370"/>
      <c r="Q86" s="370"/>
      <c r="R86" s="166"/>
      <c r="S86" s="304"/>
    </row>
    <row r="87" spans="2:19" ht="7.5" customHeight="1">
      <c r="B87" s="295"/>
      <c r="C87" s="370"/>
      <c r="D87" s="370"/>
      <c r="E87" s="198"/>
      <c r="F87" s="370"/>
      <c r="G87" s="370"/>
      <c r="H87" s="383"/>
      <c r="I87" s="165"/>
      <c r="J87" s="383"/>
      <c r="K87" s="370"/>
      <c r="L87" s="370"/>
      <c r="M87" s="370"/>
      <c r="N87" s="370"/>
      <c r="O87" s="370"/>
      <c r="P87" s="370"/>
      <c r="Q87" s="370"/>
      <c r="R87" s="166"/>
      <c r="S87" s="304"/>
    </row>
    <row r="88" spans="2:19" ht="15" customHeight="1">
      <c r="B88" s="295" t="s">
        <v>103</v>
      </c>
      <c r="C88" s="370">
        <v>77625</v>
      </c>
      <c r="D88" s="370"/>
      <c r="E88" s="198">
        <v>14703</v>
      </c>
      <c r="F88" s="370">
        <v>0</v>
      </c>
      <c r="G88" s="370">
        <v>0</v>
      </c>
      <c r="H88" s="383">
        <f>SUM(C88:G89)</f>
        <v>82671</v>
      </c>
      <c r="I88" s="165"/>
      <c r="J88" s="383">
        <v>28819</v>
      </c>
      <c r="K88" s="370"/>
      <c r="L88" s="370">
        <v>13659</v>
      </c>
      <c r="M88" s="370"/>
      <c r="N88" s="370">
        <v>0</v>
      </c>
      <c r="O88" s="370">
        <f>SUM(J88:N89)</f>
        <v>36865</v>
      </c>
      <c r="P88" s="370"/>
      <c r="Q88" s="433">
        <f>H88-O88</f>
        <v>45806</v>
      </c>
      <c r="R88" s="166"/>
      <c r="S88" s="303" t="s">
        <v>330</v>
      </c>
    </row>
    <row r="89" spans="2:19" ht="15" customHeight="1">
      <c r="B89" s="310"/>
      <c r="C89" s="308"/>
      <c r="D89" s="297"/>
      <c r="E89" s="308">
        <v>-9657</v>
      </c>
      <c r="F89" s="384"/>
      <c r="G89" s="308"/>
      <c r="H89" s="308"/>
      <c r="I89" s="299"/>
      <c r="J89" s="308"/>
      <c r="K89" s="299"/>
      <c r="L89" s="308">
        <v>-5613</v>
      </c>
      <c r="M89" s="298"/>
      <c r="N89" s="308"/>
      <c r="O89" s="308"/>
      <c r="P89" s="308"/>
      <c r="Q89" s="385"/>
      <c r="R89" s="166"/>
      <c r="S89" s="317"/>
    </row>
    <row r="90" spans="2:19" ht="15" customHeight="1">
      <c r="B90" s="310"/>
      <c r="C90" s="297">
        <f>C65+C68+C71+C74+C77+C80+C84+C88</f>
        <v>8412413</v>
      </c>
      <c r="D90" s="297"/>
      <c r="E90" s="297">
        <f>E65+E68+E71+E74+E77+E80+E84+E88</f>
        <v>223758</v>
      </c>
      <c r="F90" s="297">
        <f>SUM(F64:F89)</f>
        <v>0</v>
      </c>
      <c r="G90" s="297">
        <f>SUM(G64:G89)</f>
        <v>0</v>
      </c>
      <c r="H90" s="297">
        <f>SUM(H65:H89)</f>
        <v>8110980</v>
      </c>
      <c r="I90" s="299">
        <f>SUM(I67:I89)</f>
        <v>0</v>
      </c>
      <c r="J90" s="297">
        <f>SUM(J65:J89)</f>
        <v>1390386</v>
      </c>
      <c r="K90" s="299">
        <f>+K87+K83+K79+K76+K73+K70+K64+K67</f>
        <v>0</v>
      </c>
      <c r="L90" s="297">
        <f>L88+L84+L80+L77+L74+L71+L68</f>
        <v>347629</v>
      </c>
      <c r="M90" s="298"/>
      <c r="N90" s="297">
        <f>SUM(N67:N89)</f>
        <v>0</v>
      </c>
      <c r="O90" s="297">
        <f>SUM(O65:O89)</f>
        <v>1681708</v>
      </c>
      <c r="P90" s="297">
        <f>SUM(P64:P89)</f>
        <v>0</v>
      </c>
      <c r="Q90" s="370">
        <f>SUM(Q65:Q89)</f>
        <v>6429272</v>
      </c>
      <c r="R90" s="166"/>
      <c r="S90" s="317"/>
    </row>
    <row r="91" spans="2:19" ht="15" customHeight="1">
      <c r="B91" s="310"/>
      <c r="C91" s="299"/>
      <c r="D91" s="299"/>
      <c r="E91" s="299">
        <f>E89+E85+E81+E75+E69</f>
        <v>-473997</v>
      </c>
      <c r="F91" s="300"/>
      <c r="G91" s="299"/>
      <c r="H91" s="299"/>
      <c r="I91" s="299"/>
      <c r="J91" s="299"/>
      <c r="K91" s="299">
        <f>K65+K68+K72+K74+K78+K80+K88+K84</f>
        <v>0</v>
      </c>
      <c r="L91" s="300">
        <f>L89+L85+L81+L75+L69</f>
        <v>-56307</v>
      </c>
      <c r="M91" s="300"/>
      <c r="N91" s="299"/>
      <c r="O91" s="299"/>
      <c r="P91" s="299"/>
      <c r="Q91" s="370"/>
      <c r="R91" s="166"/>
      <c r="S91" s="317"/>
    </row>
    <row r="92" spans="2:19" ht="14.25" customHeight="1" thickBot="1">
      <c r="B92" s="310"/>
      <c r="C92" s="316"/>
      <c r="D92" s="299"/>
      <c r="E92" s="316">
        <f>E86</f>
        <v>-51194</v>
      </c>
      <c r="F92" s="387"/>
      <c r="G92" s="316"/>
      <c r="H92" s="316"/>
      <c r="I92" s="299"/>
      <c r="J92" s="316"/>
      <c r="K92" s="299"/>
      <c r="L92" s="316"/>
      <c r="M92" s="300"/>
      <c r="N92" s="316"/>
      <c r="O92" s="316"/>
      <c r="P92" s="299"/>
      <c r="Q92" s="369"/>
      <c r="R92" s="166"/>
      <c r="S92" s="317"/>
    </row>
    <row r="93" spans="2:19" ht="9.75" customHeight="1" thickTop="1">
      <c r="B93" s="310"/>
      <c r="C93" s="299"/>
      <c r="D93" s="299"/>
      <c r="E93" s="299"/>
      <c r="F93" s="300"/>
      <c r="G93" s="299"/>
      <c r="H93" s="299"/>
      <c r="I93" s="299"/>
      <c r="J93" s="299"/>
      <c r="K93" s="299"/>
      <c r="L93" s="299"/>
      <c r="M93" s="300"/>
      <c r="N93" s="299"/>
      <c r="O93" s="299"/>
      <c r="P93" s="299"/>
      <c r="Q93" s="370"/>
      <c r="R93" s="166"/>
      <c r="S93" s="317"/>
    </row>
    <row r="94" spans="1:16" ht="15" customHeight="1">
      <c r="A94" s="72"/>
      <c r="B94" s="6"/>
      <c r="C94" s="77"/>
      <c r="D94" s="77"/>
      <c r="E94" s="66"/>
      <c r="F94" s="66"/>
      <c r="G94" s="66"/>
      <c r="N94" s="66"/>
      <c r="P94" s="15"/>
    </row>
    <row r="95" spans="1:16" ht="15" customHeight="1">
      <c r="A95" s="72"/>
      <c r="B95" s="6"/>
      <c r="C95" s="77"/>
      <c r="D95" s="77"/>
      <c r="E95" s="66"/>
      <c r="F95" s="66"/>
      <c r="G95" s="66"/>
      <c r="N95" s="66"/>
      <c r="P95" s="15"/>
    </row>
    <row r="96" spans="2:14" ht="15" customHeight="1">
      <c r="B96" s="77"/>
      <c r="C96" s="77"/>
      <c r="D96" s="77"/>
      <c r="E96" s="66"/>
      <c r="F96" s="66"/>
      <c r="G96" s="66"/>
      <c r="N96" s="66"/>
    </row>
    <row r="97" spans="5:14" ht="15" customHeight="1">
      <c r="E97" s="66"/>
      <c r="F97" s="66"/>
      <c r="G97" s="66"/>
      <c r="N97" s="66"/>
    </row>
    <row r="98" spans="5:14" ht="15" customHeight="1">
      <c r="E98" s="66"/>
      <c r="F98" s="66"/>
      <c r="G98" s="66"/>
      <c r="N98" s="66"/>
    </row>
    <row r="99" spans="5:14" ht="15" customHeight="1">
      <c r="E99" s="66"/>
      <c r="F99" s="66"/>
      <c r="G99" s="66"/>
      <c r="N99" s="66"/>
    </row>
    <row r="100" spans="5:14" ht="15" customHeight="1">
      <c r="E100" s="66"/>
      <c r="F100" s="66"/>
      <c r="G100" s="66"/>
      <c r="N100" s="66"/>
    </row>
    <row r="101" spans="5:14" ht="15" customHeight="1">
      <c r="E101" s="66"/>
      <c r="F101" s="66"/>
      <c r="G101" s="66"/>
      <c r="L101" s="161"/>
      <c r="N101" s="161"/>
    </row>
    <row r="102" spans="5:14" ht="15" customHeight="1">
      <c r="E102" s="66"/>
      <c r="F102" s="66"/>
      <c r="G102" s="66"/>
      <c r="L102" s="161"/>
      <c r="N102" s="161"/>
    </row>
    <row r="103" spans="5:14" ht="15" customHeight="1">
      <c r="E103" s="66"/>
      <c r="F103" s="66"/>
      <c r="G103" s="66"/>
      <c r="L103" s="161"/>
      <c r="N103" s="66"/>
    </row>
    <row r="104" spans="1:19" ht="15" customHeight="1">
      <c r="A104" s="5"/>
      <c r="E104" s="66"/>
      <c r="F104" s="66"/>
      <c r="G104" s="66"/>
      <c r="N104" s="66"/>
      <c r="R104" s="77"/>
      <c r="S104" s="352"/>
    </row>
    <row r="105" spans="2:19" ht="15" hidden="1">
      <c r="B105" s="367"/>
      <c r="C105" s="365"/>
      <c r="D105" s="365"/>
      <c r="H105" s="368"/>
      <c r="K105" s="365"/>
      <c r="L105" s="365"/>
      <c r="M105" s="365"/>
      <c r="N105" s="365"/>
      <c r="O105" s="365"/>
      <c r="P105" s="365"/>
      <c r="Q105" s="365"/>
      <c r="R105" s="77"/>
      <c r="S105" s="352"/>
    </row>
    <row r="106" ht="15">
      <c r="S106" s="77"/>
    </row>
    <row r="107" ht="15">
      <c r="S107" s="77"/>
    </row>
    <row r="108" spans="15:62" ht="15">
      <c r="O108" s="5"/>
      <c r="P108" s="5"/>
      <c r="Q108" s="5"/>
      <c r="R108" s="5"/>
      <c r="S108" s="5"/>
      <c r="BF108" s="66"/>
      <c r="BG108" s="66"/>
      <c r="BH108" s="66"/>
      <c r="BI108" s="66"/>
      <c r="BJ108" s="66"/>
    </row>
    <row r="109" spans="15:62" ht="15">
      <c r="O109" s="5"/>
      <c r="P109" s="5"/>
      <c r="Q109" s="5"/>
      <c r="R109" s="5"/>
      <c r="S109" s="5"/>
      <c r="BF109" s="66"/>
      <c r="BG109" s="66"/>
      <c r="BH109" s="66"/>
      <c r="BI109" s="66"/>
      <c r="BJ109" s="66"/>
    </row>
    <row r="110" spans="15:62" ht="15">
      <c r="O110" s="5"/>
      <c r="P110" s="5"/>
      <c r="Q110" s="5"/>
      <c r="R110" s="5"/>
      <c r="S110" s="5"/>
      <c r="BF110" s="66"/>
      <c r="BG110" s="66"/>
      <c r="BH110" s="66"/>
      <c r="BI110" s="66"/>
      <c r="BJ110" s="66"/>
    </row>
    <row r="111" spans="15:62" ht="15">
      <c r="O111" s="5"/>
      <c r="P111" s="5"/>
      <c r="Q111" s="5"/>
      <c r="R111" s="5"/>
      <c r="S111" s="5"/>
      <c r="BF111" s="66"/>
      <c r="BG111" s="66"/>
      <c r="BH111" s="66"/>
      <c r="BI111" s="66"/>
      <c r="BJ111" s="66"/>
    </row>
    <row r="112" spans="15:19" ht="15">
      <c r="O112" s="80"/>
      <c r="P112" s="80"/>
      <c r="Q112" s="80"/>
      <c r="S112" s="79"/>
    </row>
    <row r="113" spans="15:58" s="100" customFormat="1" ht="15">
      <c r="O113" s="97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</row>
    <row r="114" spans="15:57" s="100" customFormat="1" ht="1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5:57" s="100" customFormat="1" ht="1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5:57" s="100" customFormat="1" ht="1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5:57" s="100" customFormat="1" ht="1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5:62" ht="15">
      <c r="O118" s="5"/>
      <c r="P118" s="5"/>
      <c r="Q118" s="5"/>
      <c r="R118" s="5"/>
      <c r="S118" s="5"/>
      <c r="BF118" s="66"/>
      <c r="BG118" s="66"/>
      <c r="BH118" s="66"/>
      <c r="BI118" s="66"/>
      <c r="BJ118" s="66"/>
    </row>
    <row r="119" ht="15">
      <c r="S119" s="77"/>
    </row>
    <row r="120" spans="1:16" ht="15">
      <c r="A120" s="68"/>
      <c r="B120" s="99"/>
      <c r="P120" s="77"/>
    </row>
    <row r="121" spans="1:16" ht="15">
      <c r="A121" s="67"/>
      <c r="B121" s="99"/>
      <c r="P121" s="15" t="s">
        <v>832</v>
      </c>
    </row>
    <row r="122" spans="1:16" ht="15">
      <c r="A122" s="5"/>
      <c r="P122" s="5"/>
    </row>
    <row r="123" spans="1:16" ht="15">
      <c r="A123" s="5"/>
      <c r="P123" s="62"/>
    </row>
    <row r="124" spans="1:16" ht="15">
      <c r="A124" s="5"/>
      <c r="P124" s="62"/>
    </row>
    <row r="125" spans="1:16" ht="15">
      <c r="A125" s="5"/>
      <c r="P125" s="62"/>
    </row>
    <row r="126" spans="1:16" ht="15">
      <c r="A126" s="5"/>
      <c r="P126" s="62"/>
    </row>
    <row r="127" spans="1:16" ht="15">
      <c r="A127" s="5"/>
      <c r="P127" s="62"/>
    </row>
    <row r="128" spans="1:16" ht="15">
      <c r="A128" s="5"/>
      <c r="P128" s="62"/>
    </row>
    <row r="129" spans="1:16" ht="15">
      <c r="A129" s="5"/>
      <c r="P129" s="62"/>
    </row>
    <row r="130" spans="1:16" ht="15">
      <c r="A130" s="5"/>
      <c r="P130" s="64"/>
    </row>
    <row r="131" ht="15">
      <c r="P131" s="64"/>
    </row>
    <row r="135" spans="1:2" ht="15">
      <c r="A135" s="5"/>
      <c r="B135" s="5"/>
    </row>
    <row r="136" spans="1:3" ht="15">
      <c r="A136" s="67"/>
      <c r="B136" s="6"/>
      <c r="C136" s="5"/>
    </row>
    <row r="137" spans="1:3" ht="15">
      <c r="A137" s="5"/>
      <c r="B137" s="5"/>
      <c r="C137" s="5"/>
    </row>
    <row r="138" spans="1:16" ht="15">
      <c r="A138" s="5"/>
      <c r="B138" s="5"/>
      <c r="C138" s="5"/>
      <c r="P138" s="62"/>
    </row>
    <row r="139" spans="1:16" ht="15">
      <c r="A139" s="5"/>
      <c r="B139" s="5"/>
      <c r="C139" s="5"/>
      <c r="P139" s="62"/>
    </row>
    <row r="140" spans="1:16" ht="15">
      <c r="A140" s="5"/>
      <c r="B140" s="20"/>
      <c r="C140" s="5"/>
      <c r="P140" s="62"/>
    </row>
    <row r="141" spans="1:16" ht="15">
      <c r="A141" s="5"/>
      <c r="B141" s="20"/>
      <c r="C141" s="5"/>
      <c r="P141" s="62"/>
    </row>
    <row r="142" spans="1:16" ht="15">
      <c r="A142" s="5"/>
      <c r="B142" s="20"/>
      <c r="C142" s="5"/>
      <c r="P142" s="62"/>
    </row>
    <row r="143" spans="1:16" ht="15">
      <c r="A143" s="5"/>
      <c r="B143" s="20"/>
      <c r="C143" s="5"/>
      <c r="P143" s="62"/>
    </row>
    <row r="144" spans="1:16" ht="15">
      <c r="A144" s="5"/>
      <c r="B144" s="5"/>
      <c r="C144" s="5"/>
      <c r="P144" s="62"/>
    </row>
    <row r="145" ht="15">
      <c r="P145" s="62"/>
    </row>
    <row r="146" spans="2:16" ht="15">
      <c r="B146" s="5"/>
      <c r="P146" s="62"/>
    </row>
    <row r="147" ht="15">
      <c r="P147" s="62"/>
    </row>
    <row r="148" ht="15">
      <c r="S148" s="77"/>
    </row>
    <row r="149" ht="15">
      <c r="S149" s="77"/>
    </row>
    <row r="150" ht="15">
      <c r="S150" s="77"/>
    </row>
    <row r="151" ht="15">
      <c r="S151" s="77"/>
    </row>
    <row r="152" ht="15">
      <c r="S152" s="77"/>
    </row>
    <row r="153" ht="15">
      <c r="S153" s="77"/>
    </row>
    <row r="154" ht="15">
      <c r="S154" s="77"/>
    </row>
    <row r="155" ht="15">
      <c r="S155" s="77"/>
    </row>
    <row r="156" ht="15">
      <c r="S156" s="77"/>
    </row>
    <row r="157" ht="15">
      <c r="S157" s="77"/>
    </row>
    <row r="158" ht="15">
      <c r="S158" s="77"/>
    </row>
    <row r="159" ht="15">
      <c r="S159" s="77"/>
    </row>
    <row r="160" ht="15">
      <c r="S160" s="77"/>
    </row>
    <row r="161" ht="15">
      <c r="S161" s="77"/>
    </row>
    <row r="162" ht="15">
      <c r="S162" s="77"/>
    </row>
    <row r="163" ht="15">
      <c r="S163" s="77"/>
    </row>
    <row r="164" ht="15">
      <c r="S164" s="77"/>
    </row>
    <row r="165" ht="15">
      <c r="S165" s="77"/>
    </row>
    <row r="166" ht="15">
      <c r="S166" s="77"/>
    </row>
    <row r="167" ht="15">
      <c r="S167" s="77"/>
    </row>
    <row r="168" ht="15">
      <c r="S168" s="77"/>
    </row>
    <row r="169" ht="15">
      <c r="S169" s="77"/>
    </row>
    <row r="170" ht="15">
      <c r="S170" s="77"/>
    </row>
    <row r="171" ht="15">
      <c r="S171" s="77"/>
    </row>
    <row r="172" ht="15">
      <c r="S172" s="77"/>
    </row>
    <row r="173" ht="15">
      <c r="S173" s="77"/>
    </row>
    <row r="174" ht="15">
      <c r="S174" s="77"/>
    </row>
    <row r="175" ht="15">
      <c r="S175" s="77"/>
    </row>
    <row r="176" ht="15">
      <c r="S176" s="77"/>
    </row>
    <row r="177" ht="15">
      <c r="S177" s="77"/>
    </row>
    <row r="178" ht="15">
      <c r="S178" s="77"/>
    </row>
    <row r="179" ht="15">
      <c r="S179" s="77"/>
    </row>
    <row r="180" ht="15">
      <c r="S180" s="77"/>
    </row>
    <row r="181" ht="15">
      <c r="S181" s="77"/>
    </row>
    <row r="182" ht="15">
      <c r="S182" s="77"/>
    </row>
    <row r="183" ht="15">
      <c r="S183" s="77"/>
    </row>
    <row r="184" ht="15">
      <c r="S184" s="77"/>
    </row>
    <row r="185" ht="15">
      <c r="S185" s="77"/>
    </row>
    <row r="186" ht="15">
      <c r="S186" s="77"/>
    </row>
    <row r="187" ht="15">
      <c r="S187" s="77"/>
    </row>
    <row r="188" ht="15">
      <c r="S188" s="77"/>
    </row>
    <row r="189" ht="15">
      <c r="S189" s="77"/>
    </row>
    <row r="190" ht="15">
      <c r="S190" s="77"/>
    </row>
    <row r="191" ht="15">
      <c r="S191" s="77"/>
    </row>
    <row r="192" ht="15">
      <c r="S192" s="77"/>
    </row>
    <row r="193" ht="15">
      <c r="S193" s="77"/>
    </row>
    <row r="194" ht="15">
      <c r="S194" s="77"/>
    </row>
    <row r="195" ht="15">
      <c r="S195" s="77"/>
    </row>
    <row r="196" ht="15">
      <c r="S196" s="77"/>
    </row>
    <row r="197" ht="15">
      <c r="S197" s="77"/>
    </row>
    <row r="198" ht="15">
      <c r="S198" s="77"/>
    </row>
    <row r="199" ht="15">
      <c r="S199" s="77"/>
    </row>
    <row r="200" ht="15">
      <c r="S200" s="77"/>
    </row>
    <row r="201" ht="15">
      <c r="S201" s="77"/>
    </row>
    <row r="202" ht="15">
      <c r="S202" s="77"/>
    </row>
    <row r="203" ht="15">
      <c r="S203" s="77"/>
    </row>
    <row r="204" ht="15">
      <c r="S204" s="77"/>
    </row>
    <row r="205" ht="15">
      <c r="S205" s="77"/>
    </row>
    <row r="206" ht="15">
      <c r="S206" s="77"/>
    </row>
    <row r="207" ht="15">
      <c r="S207" s="77"/>
    </row>
    <row r="208" ht="15">
      <c r="S208" s="77"/>
    </row>
    <row r="209" ht="15">
      <c r="S209" s="77"/>
    </row>
    <row r="210" ht="15">
      <c r="S210" s="77"/>
    </row>
    <row r="211" ht="15">
      <c r="S211" s="77"/>
    </row>
    <row r="212" ht="15">
      <c r="S212" s="77"/>
    </row>
    <row r="213" ht="15">
      <c r="S213" s="77"/>
    </row>
    <row r="214" ht="15">
      <c r="S214" s="77"/>
    </row>
    <row r="215" ht="15">
      <c r="S215" s="77"/>
    </row>
    <row r="216" ht="15">
      <c r="S216" s="77"/>
    </row>
    <row r="217" ht="15">
      <c r="S217" s="77"/>
    </row>
    <row r="218" ht="15">
      <c r="S218" s="77"/>
    </row>
    <row r="219" ht="15">
      <c r="S219" s="77"/>
    </row>
    <row r="220" ht="15">
      <c r="S220" s="77"/>
    </row>
    <row r="221" ht="15">
      <c r="S221" s="77"/>
    </row>
    <row r="222" ht="15">
      <c r="S222" s="77"/>
    </row>
    <row r="223" ht="15">
      <c r="S223" s="77"/>
    </row>
    <row r="224" ht="15">
      <c r="S224" s="77"/>
    </row>
    <row r="225" ht="15">
      <c r="S225" s="77"/>
    </row>
    <row r="226" ht="15">
      <c r="S226" s="77"/>
    </row>
    <row r="227" ht="15">
      <c r="S227" s="77"/>
    </row>
    <row r="228" ht="15">
      <c r="S228" s="77"/>
    </row>
    <row r="229" ht="15">
      <c r="S229" s="77"/>
    </row>
    <row r="230" ht="15">
      <c r="S230" s="77"/>
    </row>
    <row r="231" ht="15">
      <c r="S231" s="77"/>
    </row>
    <row r="232" ht="15">
      <c r="S232" s="77"/>
    </row>
    <row r="233" ht="15">
      <c r="S233" s="77"/>
    </row>
    <row r="234" ht="15">
      <c r="S234" s="77"/>
    </row>
    <row r="235" ht="15">
      <c r="S235" s="77"/>
    </row>
    <row r="236" ht="15">
      <c r="S236" s="77"/>
    </row>
    <row r="237" ht="15">
      <c r="S237" s="77"/>
    </row>
    <row r="238" ht="15">
      <c r="S238" s="77"/>
    </row>
    <row r="239" ht="15">
      <c r="S239" s="77"/>
    </row>
    <row r="240" ht="15">
      <c r="S240" s="77"/>
    </row>
    <row r="241" ht="15">
      <c r="S241" s="77"/>
    </row>
    <row r="242" ht="15">
      <c r="S242" s="77"/>
    </row>
    <row r="243" ht="15">
      <c r="S243" s="77"/>
    </row>
    <row r="244" ht="15">
      <c r="S244" s="77"/>
    </row>
    <row r="245" ht="15">
      <c r="S245" s="77"/>
    </row>
    <row r="246" ht="15">
      <c r="S246" s="77"/>
    </row>
    <row r="247" ht="15">
      <c r="S247" s="77"/>
    </row>
    <row r="248" ht="15">
      <c r="S248" s="77"/>
    </row>
    <row r="249" ht="15">
      <c r="S249" s="77"/>
    </row>
    <row r="250" ht="15">
      <c r="S250" s="77"/>
    </row>
    <row r="251" ht="15">
      <c r="S251" s="77"/>
    </row>
    <row r="252" ht="15">
      <c r="S252" s="77"/>
    </row>
    <row r="253" ht="15">
      <c r="S253" s="77"/>
    </row>
    <row r="254" ht="15">
      <c r="S254" s="77"/>
    </row>
    <row r="255" ht="15">
      <c r="S255" s="77"/>
    </row>
    <row r="256" ht="15">
      <c r="S256" s="77"/>
    </row>
    <row r="257" ht="15">
      <c r="S257" s="77"/>
    </row>
    <row r="258" ht="15">
      <c r="S258" s="77"/>
    </row>
    <row r="259" ht="15">
      <c r="S259" s="77"/>
    </row>
    <row r="260" ht="15">
      <c r="S260" s="77"/>
    </row>
    <row r="261" ht="15">
      <c r="S261" s="77"/>
    </row>
    <row r="262" ht="15">
      <c r="S262" s="77"/>
    </row>
    <row r="263" ht="15">
      <c r="S263" s="77"/>
    </row>
    <row r="264" ht="15">
      <c r="S264" s="77"/>
    </row>
    <row r="265" ht="15">
      <c r="S265" s="77"/>
    </row>
    <row r="266" ht="15">
      <c r="S266" s="77"/>
    </row>
    <row r="267" ht="15">
      <c r="S267" s="77"/>
    </row>
    <row r="268" ht="15">
      <c r="S268" s="77"/>
    </row>
    <row r="269" ht="15">
      <c r="S269" s="77"/>
    </row>
    <row r="270" ht="15">
      <c r="S270" s="77"/>
    </row>
    <row r="271" ht="15">
      <c r="S271" s="77"/>
    </row>
    <row r="272" ht="15">
      <c r="S272" s="77"/>
    </row>
    <row r="273" ht="15">
      <c r="S273" s="77"/>
    </row>
    <row r="274" ht="15">
      <c r="S274" s="77"/>
    </row>
    <row r="275" ht="15">
      <c r="S275" s="77"/>
    </row>
    <row r="276" ht="15">
      <c r="S276" s="77"/>
    </row>
    <row r="277" ht="15">
      <c r="S277" s="77"/>
    </row>
    <row r="278" ht="15">
      <c r="S278" s="77"/>
    </row>
    <row r="279" ht="15">
      <c r="S279" s="77"/>
    </row>
    <row r="280" ht="15">
      <c r="S280" s="77"/>
    </row>
    <row r="281" ht="15">
      <c r="S281" s="77"/>
    </row>
    <row r="282" ht="15">
      <c r="S282" s="77"/>
    </row>
    <row r="283" ht="15">
      <c r="S283" s="77"/>
    </row>
    <row r="284" ht="15">
      <c r="S284" s="77"/>
    </row>
    <row r="285" ht="15">
      <c r="S285" s="77"/>
    </row>
    <row r="286" ht="15">
      <c r="S286" s="77"/>
    </row>
    <row r="287" ht="15">
      <c r="S287" s="77"/>
    </row>
    <row r="288" ht="15">
      <c r="S288" s="77"/>
    </row>
    <row r="289" ht="15">
      <c r="S289" s="77"/>
    </row>
    <row r="290" ht="15">
      <c r="S290" s="77"/>
    </row>
    <row r="291" ht="15">
      <c r="S291" s="77"/>
    </row>
    <row r="292" ht="15">
      <c r="S292" s="77"/>
    </row>
    <row r="293" ht="15">
      <c r="S293" s="77"/>
    </row>
    <row r="294" ht="15">
      <c r="S294" s="77"/>
    </row>
    <row r="295" ht="15">
      <c r="S295" s="77"/>
    </row>
    <row r="296" ht="15">
      <c r="S296" s="77"/>
    </row>
    <row r="297" ht="15">
      <c r="S297" s="77"/>
    </row>
    <row r="298" ht="15">
      <c r="S298" s="77"/>
    </row>
    <row r="299" ht="15">
      <c r="S299" s="77"/>
    </row>
    <row r="300" ht="15">
      <c r="S300" s="77"/>
    </row>
    <row r="301" ht="15">
      <c r="S301" s="77"/>
    </row>
    <row r="302" ht="15">
      <c r="S302" s="77"/>
    </row>
    <row r="303" ht="15">
      <c r="S303" s="77"/>
    </row>
    <row r="304" ht="15">
      <c r="S304" s="77"/>
    </row>
    <row r="305" ht="15">
      <c r="S305" s="77"/>
    </row>
    <row r="306" ht="15">
      <c r="S306" s="77"/>
    </row>
    <row r="307" ht="15">
      <c r="S307" s="77"/>
    </row>
    <row r="308" ht="15">
      <c r="S308" s="77"/>
    </row>
    <row r="309" ht="15">
      <c r="S309" s="77"/>
    </row>
    <row r="310" ht="15">
      <c r="S310" s="77"/>
    </row>
    <row r="311" ht="15">
      <c r="S311" s="77"/>
    </row>
    <row r="312" ht="15">
      <c r="S312" s="77"/>
    </row>
    <row r="313" ht="15">
      <c r="S313" s="77"/>
    </row>
    <row r="314" ht="15">
      <c r="S314" s="77"/>
    </row>
    <row r="315" ht="15">
      <c r="S315" s="77"/>
    </row>
    <row r="316" ht="15">
      <c r="S316" s="77"/>
    </row>
    <row r="317" ht="15">
      <c r="S317" s="77"/>
    </row>
    <row r="318" ht="15">
      <c r="S318" s="77"/>
    </row>
    <row r="319" ht="15">
      <c r="S319" s="77"/>
    </row>
    <row r="320" ht="15">
      <c r="S320" s="77"/>
    </row>
    <row r="321" ht="15">
      <c r="S321" s="77"/>
    </row>
    <row r="322" ht="15">
      <c r="S322" s="77"/>
    </row>
    <row r="323" ht="15">
      <c r="S323" s="77"/>
    </row>
    <row r="324" ht="15">
      <c r="S324" s="77"/>
    </row>
    <row r="325" ht="15">
      <c r="S325" s="77"/>
    </row>
    <row r="326" ht="15">
      <c r="S326" s="77"/>
    </row>
    <row r="327" ht="15">
      <c r="S327" s="77"/>
    </row>
    <row r="328" ht="15">
      <c r="S328" s="77"/>
    </row>
    <row r="329" ht="15">
      <c r="S329" s="77"/>
    </row>
    <row r="330" ht="15">
      <c r="S330" s="77"/>
    </row>
    <row r="331" ht="15">
      <c r="S331" s="77"/>
    </row>
    <row r="332" ht="15">
      <c r="S332" s="77"/>
    </row>
    <row r="333" ht="15">
      <c r="S333" s="77"/>
    </row>
    <row r="334" ht="15">
      <c r="S334" s="77"/>
    </row>
    <row r="335" ht="15">
      <c r="S335" s="77"/>
    </row>
    <row r="336" ht="15">
      <c r="S336" s="77"/>
    </row>
    <row r="337" ht="15">
      <c r="S337" s="77"/>
    </row>
    <row r="338" ht="15">
      <c r="S338" s="77"/>
    </row>
    <row r="339" ht="15">
      <c r="S339" s="77"/>
    </row>
    <row r="340" ht="15">
      <c r="S340" s="77"/>
    </row>
    <row r="341" ht="15">
      <c r="S341" s="77"/>
    </row>
    <row r="342" ht="15">
      <c r="S342" s="77"/>
    </row>
    <row r="343" ht="15">
      <c r="S343" s="77"/>
    </row>
    <row r="344" ht="15">
      <c r="S344" s="77"/>
    </row>
    <row r="345" ht="15">
      <c r="S345" s="77"/>
    </row>
    <row r="346" ht="15">
      <c r="S346" s="77"/>
    </row>
    <row r="347" ht="15">
      <c r="S347" s="77"/>
    </row>
    <row r="348" ht="15">
      <c r="S348" s="77"/>
    </row>
    <row r="349" ht="15">
      <c r="S349" s="77"/>
    </row>
    <row r="350" ht="15">
      <c r="S350" s="77"/>
    </row>
    <row r="351" ht="15">
      <c r="S351" s="77"/>
    </row>
    <row r="352" ht="15">
      <c r="S352" s="77"/>
    </row>
    <row r="353" ht="15">
      <c r="S353" s="77"/>
    </row>
    <row r="354" ht="15">
      <c r="S354" s="77"/>
    </row>
    <row r="355" ht="15">
      <c r="S355" s="77"/>
    </row>
    <row r="356" ht="15">
      <c r="S356" s="77"/>
    </row>
    <row r="357" ht="15">
      <c r="S357" s="77"/>
    </row>
    <row r="358" ht="15">
      <c r="S358" s="77"/>
    </row>
    <row r="359" ht="15">
      <c r="S359" s="77"/>
    </row>
    <row r="360" ht="15">
      <c r="S360" s="77"/>
    </row>
    <row r="361" ht="15">
      <c r="S361" s="77"/>
    </row>
    <row r="362" ht="15">
      <c r="S362" s="77"/>
    </row>
    <row r="363" ht="15">
      <c r="S363" s="77"/>
    </row>
    <row r="364" ht="15">
      <c r="S364" s="77"/>
    </row>
    <row r="365" ht="15">
      <c r="S365" s="77"/>
    </row>
    <row r="366" ht="15">
      <c r="S366" s="77"/>
    </row>
    <row r="367" ht="15">
      <c r="S367" s="77"/>
    </row>
    <row r="368" ht="15">
      <c r="S368" s="77"/>
    </row>
    <row r="369" ht="15">
      <c r="S369" s="77"/>
    </row>
    <row r="370" ht="15">
      <c r="S370" s="77"/>
    </row>
    <row r="371" ht="15">
      <c r="S371" s="77"/>
    </row>
    <row r="372" ht="15">
      <c r="S372" s="77"/>
    </row>
    <row r="373" ht="15">
      <c r="S373" s="77"/>
    </row>
    <row r="374" ht="15">
      <c r="S374" s="77"/>
    </row>
    <row r="375" ht="15">
      <c r="S375" s="77"/>
    </row>
    <row r="376" ht="15">
      <c r="S376" s="77"/>
    </row>
    <row r="377" ht="15">
      <c r="S377" s="77"/>
    </row>
    <row r="378" ht="15">
      <c r="S378" s="77"/>
    </row>
    <row r="379" ht="15">
      <c r="S379" s="77"/>
    </row>
    <row r="380" ht="15">
      <c r="S380" s="77"/>
    </row>
    <row r="381" ht="15">
      <c r="S381" s="77"/>
    </row>
    <row r="382" ht="15">
      <c r="S382" s="77"/>
    </row>
    <row r="383" ht="15">
      <c r="S383" s="77"/>
    </row>
    <row r="384" ht="15">
      <c r="S384" s="77"/>
    </row>
    <row r="385" ht="15">
      <c r="S385" s="77"/>
    </row>
    <row r="386" ht="15">
      <c r="S386" s="77"/>
    </row>
    <row r="387" ht="15">
      <c r="S387" s="77"/>
    </row>
    <row r="388" ht="15">
      <c r="S388" s="77"/>
    </row>
    <row r="389" ht="15">
      <c r="S389" s="77"/>
    </row>
    <row r="390" ht="15">
      <c r="S390" s="77"/>
    </row>
    <row r="391" ht="15">
      <c r="S391" s="77"/>
    </row>
    <row r="392" ht="15">
      <c r="S392" s="77"/>
    </row>
    <row r="393" ht="15">
      <c r="S393" s="77"/>
    </row>
    <row r="394" ht="15">
      <c r="S394" s="77"/>
    </row>
    <row r="395" ht="15">
      <c r="S395" s="77"/>
    </row>
    <row r="396" ht="15">
      <c r="S396" s="77"/>
    </row>
    <row r="397" ht="15">
      <c r="S397" s="77"/>
    </row>
    <row r="398" ht="15">
      <c r="S398" s="77"/>
    </row>
    <row r="399" ht="15">
      <c r="S399" s="77"/>
    </row>
    <row r="400" ht="15">
      <c r="S400" s="77"/>
    </row>
    <row r="401" ht="15">
      <c r="S401" s="77"/>
    </row>
    <row r="402" ht="15">
      <c r="S402" s="77"/>
    </row>
    <row r="403" ht="15">
      <c r="S403" s="77"/>
    </row>
    <row r="404" ht="15">
      <c r="S404" s="77"/>
    </row>
    <row r="405" ht="15">
      <c r="S405" s="77"/>
    </row>
    <row r="406" ht="15">
      <c r="S406" s="77"/>
    </row>
    <row r="407" ht="15">
      <c r="S407" s="77"/>
    </row>
    <row r="408" ht="15">
      <c r="S408" s="77"/>
    </row>
    <row r="409" ht="15">
      <c r="S409" s="77"/>
    </row>
    <row r="410" ht="15">
      <c r="S410" s="77"/>
    </row>
    <row r="411" ht="15">
      <c r="S411" s="77"/>
    </row>
    <row r="412" ht="15">
      <c r="S412" s="77"/>
    </row>
    <row r="413" ht="15">
      <c r="S413" s="77"/>
    </row>
    <row r="414" ht="15">
      <c r="S414" s="77"/>
    </row>
    <row r="415" ht="15">
      <c r="S415" s="77"/>
    </row>
    <row r="416" ht="15">
      <c r="S416" s="77"/>
    </row>
    <row r="417" ht="15">
      <c r="S417" s="77"/>
    </row>
    <row r="418" ht="15">
      <c r="S418" s="77"/>
    </row>
    <row r="419" ht="15">
      <c r="S419" s="77"/>
    </row>
    <row r="420" ht="15">
      <c r="S420" s="77"/>
    </row>
    <row r="421" ht="15">
      <c r="S421" s="77"/>
    </row>
    <row r="422" ht="15">
      <c r="S422" s="77"/>
    </row>
    <row r="423" ht="15">
      <c r="S423" s="77"/>
    </row>
    <row r="424" ht="15">
      <c r="S424" s="77"/>
    </row>
    <row r="425" ht="15">
      <c r="S425" s="77"/>
    </row>
    <row r="426" ht="15">
      <c r="S426" s="77"/>
    </row>
    <row r="427" ht="15">
      <c r="S427" s="77"/>
    </row>
    <row r="428" ht="15">
      <c r="S428" s="77"/>
    </row>
    <row r="429" ht="15">
      <c r="S429" s="77"/>
    </row>
    <row r="430" ht="15">
      <c r="S430" s="77"/>
    </row>
    <row r="431" ht="15">
      <c r="S431" s="77"/>
    </row>
    <row r="432" ht="15">
      <c r="S432" s="77"/>
    </row>
    <row r="433" ht="15">
      <c r="S433" s="77"/>
    </row>
    <row r="434" ht="15">
      <c r="S434" s="77"/>
    </row>
    <row r="435" ht="15">
      <c r="S435" s="77"/>
    </row>
    <row r="436" ht="15">
      <c r="S436" s="77"/>
    </row>
    <row r="437" ht="15">
      <c r="S437" s="77"/>
    </row>
    <row r="438" ht="15">
      <c r="S438" s="77"/>
    </row>
    <row r="439" ht="15">
      <c r="S439" s="77"/>
    </row>
    <row r="440" ht="15">
      <c r="S440" s="77"/>
    </row>
    <row r="441" ht="15">
      <c r="S441" s="77"/>
    </row>
    <row r="442" ht="15">
      <c r="S442" s="77"/>
    </row>
    <row r="443" ht="15">
      <c r="S443" s="77"/>
    </row>
    <row r="444" ht="15">
      <c r="S444" s="77"/>
    </row>
    <row r="445" ht="15">
      <c r="S445" s="77"/>
    </row>
    <row r="446" ht="15">
      <c r="S446" s="77"/>
    </row>
    <row r="447" ht="15">
      <c r="S447" s="77"/>
    </row>
    <row r="448" ht="15">
      <c r="S448" s="77"/>
    </row>
    <row r="449" ht="15">
      <c r="S449" s="77"/>
    </row>
    <row r="450" ht="15">
      <c r="S450" s="77"/>
    </row>
    <row r="451" ht="15">
      <c r="S451" s="77"/>
    </row>
    <row r="452" ht="15">
      <c r="S452" s="77"/>
    </row>
    <row r="453" ht="15">
      <c r="S453" s="77"/>
    </row>
    <row r="454" ht="15">
      <c r="S454" s="77"/>
    </row>
    <row r="455" ht="15">
      <c r="S455" s="77"/>
    </row>
    <row r="456" ht="15">
      <c r="S456" s="77"/>
    </row>
    <row r="457" ht="15">
      <c r="S457" s="77"/>
    </row>
    <row r="458" ht="15">
      <c r="S458" s="77"/>
    </row>
    <row r="459" ht="15">
      <c r="S459" s="77"/>
    </row>
    <row r="460" ht="15">
      <c r="S460" s="77"/>
    </row>
    <row r="461" ht="15">
      <c r="S461" s="77"/>
    </row>
    <row r="462" ht="15">
      <c r="S462" s="77"/>
    </row>
    <row r="463" ht="15">
      <c r="S463" s="77"/>
    </row>
    <row r="464" ht="15">
      <c r="S464" s="77"/>
    </row>
    <row r="465" ht="15">
      <c r="S465" s="77"/>
    </row>
    <row r="466" ht="15">
      <c r="S466" s="77"/>
    </row>
    <row r="467" ht="15">
      <c r="S467" s="77"/>
    </row>
    <row r="468" ht="15">
      <c r="S468" s="77"/>
    </row>
    <row r="469" ht="15">
      <c r="S469" s="77"/>
    </row>
    <row r="470" ht="15">
      <c r="S470" s="77"/>
    </row>
    <row r="471" ht="15">
      <c r="S471" s="77"/>
    </row>
    <row r="472" ht="15">
      <c r="S472" s="77"/>
    </row>
    <row r="473" ht="15">
      <c r="S473" s="77"/>
    </row>
    <row r="474" ht="15">
      <c r="S474" s="77"/>
    </row>
    <row r="475" ht="15">
      <c r="S475" s="77"/>
    </row>
    <row r="476" ht="15">
      <c r="S476" s="77"/>
    </row>
    <row r="477" ht="15">
      <c r="S477" s="77"/>
    </row>
    <row r="478" ht="15">
      <c r="S478" s="77"/>
    </row>
    <row r="479" ht="15">
      <c r="S479" s="77"/>
    </row>
    <row r="480" ht="15">
      <c r="S480" s="77"/>
    </row>
    <row r="481" ht="15">
      <c r="S481" s="77"/>
    </row>
    <row r="482" ht="15">
      <c r="S482" s="77"/>
    </row>
    <row r="483" ht="15">
      <c r="S483" s="77"/>
    </row>
    <row r="484" ht="15">
      <c r="S484" s="77"/>
    </row>
    <row r="485" ht="15">
      <c r="S485" s="77"/>
    </row>
    <row r="486" ht="15">
      <c r="S486" s="77"/>
    </row>
    <row r="487" ht="15">
      <c r="S487" s="77"/>
    </row>
    <row r="488" ht="15">
      <c r="S488" s="77"/>
    </row>
    <row r="489" ht="15">
      <c r="S489" s="77"/>
    </row>
    <row r="490" ht="15">
      <c r="S490" s="77"/>
    </row>
    <row r="491" ht="15">
      <c r="S491" s="77"/>
    </row>
    <row r="492" ht="15">
      <c r="S492" s="77"/>
    </row>
    <row r="493" ht="15">
      <c r="S493" s="77"/>
    </row>
    <row r="494" ht="15">
      <c r="S494" s="77"/>
    </row>
    <row r="495" ht="15">
      <c r="S495" s="77"/>
    </row>
    <row r="496" ht="15">
      <c r="S496" s="77"/>
    </row>
    <row r="497" ht="15">
      <c r="S497" s="77"/>
    </row>
    <row r="498" ht="15">
      <c r="S498" s="77"/>
    </row>
    <row r="499" ht="15">
      <c r="S499" s="77"/>
    </row>
    <row r="500" ht="15">
      <c r="S500" s="77"/>
    </row>
    <row r="501" ht="15">
      <c r="S501" s="77"/>
    </row>
    <row r="502" ht="15">
      <c r="S502" s="77"/>
    </row>
    <row r="503" ht="15">
      <c r="S503" s="77"/>
    </row>
    <row r="504" ht="15">
      <c r="S504" s="77"/>
    </row>
    <row r="505" ht="15">
      <c r="S505" s="77"/>
    </row>
    <row r="506" ht="15">
      <c r="S506" s="77"/>
    </row>
    <row r="507" ht="15">
      <c r="S507" s="77"/>
    </row>
    <row r="508" ht="15">
      <c r="S508" s="77"/>
    </row>
    <row r="509" ht="15">
      <c r="S509" s="77"/>
    </row>
    <row r="510" ht="15">
      <c r="S510" s="77"/>
    </row>
    <row r="511" ht="15">
      <c r="S511" s="77"/>
    </row>
    <row r="512" ht="15">
      <c r="S512" s="77"/>
    </row>
    <row r="513" ht="15">
      <c r="S513" s="77"/>
    </row>
    <row r="514" ht="15">
      <c r="S514" s="77"/>
    </row>
    <row r="515" ht="15">
      <c r="S515" s="77"/>
    </row>
    <row r="516" ht="15">
      <c r="S516" s="77"/>
    </row>
    <row r="517" ht="15">
      <c r="S517" s="77"/>
    </row>
    <row r="518" ht="15">
      <c r="S518" s="77"/>
    </row>
    <row r="519" ht="15">
      <c r="S519" s="77"/>
    </row>
    <row r="520" ht="15">
      <c r="S520" s="77"/>
    </row>
    <row r="521" ht="15">
      <c r="S521" s="77"/>
    </row>
    <row r="522" ht="15">
      <c r="S522" s="77"/>
    </row>
    <row r="523" ht="15">
      <c r="S523" s="77"/>
    </row>
    <row r="524" ht="15">
      <c r="S524" s="77"/>
    </row>
    <row r="525" ht="15">
      <c r="S525" s="77"/>
    </row>
    <row r="526" ht="15">
      <c r="S526" s="77"/>
    </row>
    <row r="527" ht="15">
      <c r="S527" s="77"/>
    </row>
    <row r="528" ht="15">
      <c r="S528" s="77"/>
    </row>
    <row r="529" ht="15">
      <c r="S529" s="77"/>
    </row>
    <row r="530" ht="15">
      <c r="S530" s="77"/>
    </row>
    <row r="531" ht="15">
      <c r="S531" s="77"/>
    </row>
    <row r="532" ht="15">
      <c r="S532" s="77"/>
    </row>
    <row r="533" ht="15">
      <c r="S533" s="77"/>
    </row>
    <row r="534" ht="15">
      <c r="S534" s="77"/>
    </row>
    <row r="535" ht="15">
      <c r="S535" s="77"/>
    </row>
    <row r="536" ht="15">
      <c r="S536" s="77"/>
    </row>
    <row r="537" ht="15">
      <c r="S537" s="77"/>
    </row>
    <row r="538" ht="15">
      <c r="S538" s="77"/>
    </row>
    <row r="539" ht="15">
      <c r="S539" s="77"/>
    </row>
    <row r="540" ht="15">
      <c r="S540" s="77"/>
    </row>
    <row r="541" ht="15">
      <c r="S541" s="77"/>
    </row>
    <row r="542" ht="15">
      <c r="S542" s="77"/>
    </row>
    <row r="543" ht="15">
      <c r="S543" s="77"/>
    </row>
    <row r="544" ht="15">
      <c r="S544" s="77"/>
    </row>
    <row r="545" ht="15">
      <c r="S545" s="77"/>
    </row>
    <row r="546" ht="15">
      <c r="S546" s="77"/>
    </row>
    <row r="547" ht="15">
      <c r="S547" s="77"/>
    </row>
    <row r="548" ht="15">
      <c r="S548" s="77"/>
    </row>
    <row r="549" ht="15">
      <c r="S549" s="77"/>
    </row>
    <row r="550" ht="15">
      <c r="S550" s="77"/>
    </row>
    <row r="551" ht="15">
      <c r="S551" s="77"/>
    </row>
    <row r="552" ht="15">
      <c r="S552" s="77"/>
    </row>
    <row r="553" ht="15">
      <c r="S553" s="77"/>
    </row>
    <row r="554" ht="15">
      <c r="S554" s="77"/>
    </row>
    <row r="555" ht="15">
      <c r="S555" s="77"/>
    </row>
    <row r="556" ht="15">
      <c r="S556" s="77"/>
    </row>
    <row r="557" ht="15">
      <c r="S557" s="77"/>
    </row>
    <row r="558" ht="15">
      <c r="S558" s="77"/>
    </row>
    <row r="559" ht="15">
      <c r="S559" s="77"/>
    </row>
    <row r="560" ht="15">
      <c r="S560" s="77"/>
    </row>
    <row r="561" ht="15">
      <c r="S561" s="77"/>
    </row>
    <row r="562" ht="15">
      <c r="S562" s="77"/>
    </row>
    <row r="563" ht="15">
      <c r="S563" s="77"/>
    </row>
    <row r="564" ht="15">
      <c r="S564" s="77"/>
    </row>
    <row r="565" ht="15">
      <c r="S565" s="77"/>
    </row>
    <row r="566" ht="15">
      <c r="S566" s="77"/>
    </row>
    <row r="567" ht="15">
      <c r="S567" s="77"/>
    </row>
    <row r="568" ht="15">
      <c r="S568" s="77"/>
    </row>
    <row r="569" ht="15">
      <c r="S569" s="77"/>
    </row>
    <row r="570" ht="15">
      <c r="S570" s="77"/>
    </row>
    <row r="571" ht="15">
      <c r="S571" s="77"/>
    </row>
    <row r="572" ht="15">
      <c r="S572" s="77"/>
    </row>
    <row r="573" ht="15">
      <c r="S573" s="77"/>
    </row>
    <row r="574" ht="15">
      <c r="S574" s="77"/>
    </row>
    <row r="575" ht="15">
      <c r="S575" s="77"/>
    </row>
    <row r="576" ht="15">
      <c r="S576" s="77"/>
    </row>
    <row r="577" ht="15">
      <c r="S577" s="77"/>
    </row>
    <row r="578" ht="15">
      <c r="S578" s="77"/>
    </row>
    <row r="579" ht="15">
      <c r="S579" s="77"/>
    </row>
    <row r="580" ht="15">
      <c r="S580" s="77"/>
    </row>
    <row r="581" ht="15">
      <c r="S581" s="77"/>
    </row>
    <row r="582" ht="15">
      <c r="S582" s="77"/>
    </row>
    <row r="583" ht="15">
      <c r="S583" s="77"/>
    </row>
    <row r="584" ht="15">
      <c r="S584" s="77"/>
    </row>
    <row r="585" ht="15">
      <c r="S585" s="77"/>
    </row>
    <row r="586" ht="15">
      <c r="S586" s="77"/>
    </row>
    <row r="587" ht="15">
      <c r="S587" s="77"/>
    </row>
    <row r="588" ht="15">
      <c r="S588" s="77"/>
    </row>
    <row r="589" ht="15">
      <c r="S589" s="77"/>
    </row>
    <row r="590" ht="15">
      <c r="S590" s="77"/>
    </row>
    <row r="591" ht="15">
      <c r="S591" s="77"/>
    </row>
    <row r="592" ht="15">
      <c r="S592" s="77"/>
    </row>
    <row r="593" ht="15">
      <c r="S593" s="77"/>
    </row>
    <row r="594" ht="15">
      <c r="S594" s="77"/>
    </row>
    <row r="595" ht="15">
      <c r="S595" s="77"/>
    </row>
    <row r="596" ht="15">
      <c r="S596" s="77"/>
    </row>
    <row r="597" ht="15">
      <c r="S597" s="77"/>
    </row>
    <row r="598" ht="15">
      <c r="S598" s="77"/>
    </row>
    <row r="599" ht="15">
      <c r="S599" s="77"/>
    </row>
    <row r="600" ht="15">
      <c r="S600" s="77"/>
    </row>
    <row r="601" ht="15">
      <c r="S601" s="77"/>
    </row>
    <row r="602" ht="15">
      <c r="S602" s="77"/>
    </row>
    <row r="603" ht="15">
      <c r="S603" s="77"/>
    </row>
    <row r="604" ht="15">
      <c r="S604" s="77"/>
    </row>
    <row r="605" ht="15">
      <c r="S605" s="77"/>
    </row>
    <row r="606" ht="15">
      <c r="S606" s="77"/>
    </row>
    <row r="607" ht="15">
      <c r="S607" s="77"/>
    </row>
    <row r="608" ht="15">
      <c r="S608" s="77"/>
    </row>
    <row r="609" ht="15">
      <c r="S609" s="77"/>
    </row>
    <row r="610" ht="15">
      <c r="S610" s="77"/>
    </row>
    <row r="611" ht="15">
      <c r="S611" s="77"/>
    </row>
    <row r="612" ht="15">
      <c r="S612" s="77"/>
    </row>
    <row r="613" ht="15">
      <c r="S613" s="77"/>
    </row>
    <row r="614" ht="15">
      <c r="S614" s="77"/>
    </row>
    <row r="615" ht="15">
      <c r="S615" s="77"/>
    </row>
    <row r="616" ht="15">
      <c r="S616" s="77"/>
    </row>
    <row r="617" ht="15">
      <c r="S617" s="77"/>
    </row>
    <row r="618" ht="15">
      <c r="S618" s="77"/>
    </row>
    <row r="619" ht="15">
      <c r="S619" s="77"/>
    </row>
    <row r="620" ht="15">
      <c r="S620" s="77"/>
    </row>
    <row r="621" ht="15">
      <c r="S621" s="77"/>
    </row>
    <row r="622" ht="15">
      <c r="S622" s="77"/>
    </row>
    <row r="623" ht="15">
      <c r="S623" s="77"/>
    </row>
    <row r="624" ht="15">
      <c r="S624" s="77"/>
    </row>
    <row r="625" ht="15">
      <c r="S625" s="77"/>
    </row>
    <row r="626" ht="15">
      <c r="S626" s="77"/>
    </row>
    <row r="627" ht="15">
      <c r="S627" s="77"/>
    </row>
    <row r="628" ht="15">
      <c r="S628" s="77"/>
    </row>
    <row r="629" ht="15">
      <c r="S629" s="77"/>
    </row>
    <row r="630" ht="15">
      <c r="S630" s="77"/>
    </row>
    <row r="631" ht="15">
      <c r="S631" s="77"/>
    </row>
    <row r="632" ht="15">
      <c r="S632" s="77"/>
    </row>
    <row r="633" ht="15">
      <c r="S633" s="77"/>
    </row>
    <row r="634" ht="15">
      <c r="S634" s="77"/>
    </row>
    <row r="635" ht="15">
      <c r="S635" s="77"/>
    </row>
    <row r="636" ht="15">
      <c r="S636" s="77"/>
    </row>
    <row r="637" ht="15">
      <c r="S637" s="77"/>
    </row>
    <row r="638" ht="15">
      <c r="S638" s="77"/>
    </row>
    <row r="639" ht="15">
      <c r="S639" s="77"/>
    </row>
    <row r="640" ht="15">
      <c r="S640" s="77"/>
    </row>
    <row r="641" ht="15">
      <c r="S641" s="77"/>
    </row>
    <row r="642" ht="15">
      <c r="S642" s="77"/>
    </row>
    <row r="643" ht="15">
      <c r="S643" s="77"/>
    </row>
    <row r="644" ht="15">
      <c r="S644" s="77"/>
    </row>
    <row r="645" ht="15">
      <c r="S645" s="77"/>
    </row>
    <row r="646" ht="15">
      <c r="S646" s="77"/>
    </row>
    <row r="647" ht="15">
      <c r="S647" s="77"/>
    </row>
    <row r="648" ht="15">
      <c r="S648" s="77"/>
    </row>
    <row r="649" ht="15">
      <c r="S649" s="77"/>
    </row>
    <row r="650" ht="15">
      <c r="S650" s="77"/>
    </row>
    <row r="651" ht="15">
      <c r="S651" s="77"/>
    </row>
    <row r="652" ht="15">
      <c r="S652" s="77"/>
    </row>
    <row r="653" ht="15">
      <c r="S653" s="77"/>
    </row>
    <row r="654" ht="15">
      <c r="S654" s="77"/>
    </row>
    <row r="655" ht="15">
      <c r="S655" s="77"/>
    </row>
    <row r="656" ht="15">
      <c r="S656" s="77"/>
    </row>
    <row r="657" ht="15">
      <c r="S657" s="77"/>
    </row>
    <row r="658" ht="15">
      <c r="S658" s="77"/>
    </row>
    <row r="659" ht="15">
      <c r="S659" s="77"/>
    </row>
    <row r="660" ht="15">
      <c r="S660" s="77"/>
    </row>
    <row r="661" ht="15">
      <c r="S661" s="77"/>
    </row>
    <row r="662" ht="15">
      <c r="S662" s="77"/>
    </row>
    <row r="663" ht="15">
      <c r="S663" s="77"/>
    </row>
    <row r="664" ht="15">
      <c r="S664" s="77"/>
    </row>
    <row r="665" ht="15">
      <c r="S665" s="77"/>
    </row>
    <row r="666" ht="15">
      <c r="S666" s="77"/>
    </row>
    <row r="667" ht="15">
      <c r="S667" s="77"/>
    </row>
    <row r="668" ht="15">
      <c r="S668" s="77"/>
    </row>
    <row r="669" ht="15">
      <c r="S669" s="77"/>
    </row>
    <row r="670" ht="15">
      <c r="S670" s="77"/>
    </row>
    <row r="671" ht="15">
      <c r="S671" s="77"/>
    </row>
    <row r="672" ht="15">
      <c r="S672" s="77"/>
    </row>
    <row r="673" ht="15">
      <c r="S673" s="77"/>
    </row>
    <row r="674" ht="15">
      <c r="S674" s="77"/>
    </row>
    <row r="675" ht="15">
      <c r="S675" s="77"/>
    </row>
    <row r="676" ht="15">
      <c r="S676" s="77"/>
    </row>
    <row r="677" ht="15">
      <c r="S677" s="77"/>
    </row>
    <row r="678" ht="15">
      <c r="S678" s="77"/>
    </row>
    <row r="679" ht="15">
      <c r="S679" s="77"/>
    </row>
    <row r="680" ht="15">
      <c r="S680" s="77"/>
    </row>
    <row r="681" ht="15">
      <c r="S681" s="77"/>
    </row>
    <row r="682" ht="15">
      <c r="S682" s="77"/>
    </row>
    <row r="683" ht="15">
      <c r="S683" s="77"/>
    </row>
    <row r="684" ht="15">
      <c r="S684" s="77"/>
    </row>
    <row r="685" ht="15">
      <c r="S685" s="77"/>
    </row>
    <row r="686" ht="15">
      <c r="S686" s="77"/>
    </row>
    <row r="687" ht="15">
      <c r="S687" s="77"/>
    </row>
    <row r="688" ht="15">
      <c r="S688" s="77"/>
    </row>
    <row r="689" ht="15">
      <c r="S689" s="77"/>
    </row>
    <row r="690" ht="15">
      <c r="S690" s="77"/>
    </row>
    <row r="691" ht="15">
      <c r="S691" s="77"/>
    </row>
    <row r="692" ht="15">
      <c r="S692" s="77"/>
    </row>
    <row r="693" ht="15">
      <c r="S693" s="77"/>
    </row>
    <row r="694" ht="15">
      <c r="S694" s="77"/>
    </row>
    <row r="695" ht="15">
      <c r="S695" s="77"/>
    </row>
    <row r="696" ht="15">
      <c r="S696" s="77"/>
    </row>
    <row r="697" ht="15">
      <c r="S697" s="77"/>
    </row>
    <row r="698" ht="15">
      <c r="S698" s="77"/>
    </row>
    <row r="699" ht="15">
      <c r="S699" s="77"/>
    </row>
    <row r="700" ht="15">
      <c r="S700" s="77"/>
    </row>
    <row r="701" ht="15">
      <c r="S701" s="77"/>
    </row>
    <row r="702" ht="15">
      <c r="S702" s="77"/>
    </row>
    <row r="703" ht="15">
      <c r="S703" s="77"/>
    </row>
    <row r="704" ht="15">
      <c r="S704" s="77"/>
    </row>
    <row r="705" ht="15">
      <c r="S705" s="77"/>
    </row>
    <row r="706" ht="15">
      <c r="S706" s="77"/>
    </row>
    <row r="707" ht="15">
      <c r="S707" s="77"/>
    </row>
    <row r="708" ht="15">
      <c r="S708" s="77"/>
    </row>
    <row r="709" ht="15">
      <c r="S709" s="77"/>
    </row>
    <row r="710" ht="15">
      <c r="S710" s="77"/>
    </row>
    <row r="711" ht="15">
      <c r="S711" s="77"/>
    </row>
    <row r="712" ht="15">
      <c r="S712" s="77"/>
    </row>
    <row r="713" ht="15">
      <c r="S713" s="77"/>
    </row>
    <row r="714" ht="15">
      <c r="S714" s="77"/>
    </row>
    <row r="715" ht="15">
      <c r="S715" s="77"/>
    </row>
    <row r="716" ht="15">
      <c r="S716" s="77"/>
    </row>
    <row r="717" ht="15">
      <c r="S717" s="77"/>
    </row>
    <row r="718" ht="15">
      <c r="S718" s="77"/>
    </row>
    <row r="719" ht="15">
      <c r="S719" s="77"/>
    </row>
    <row r="720" ht="15">
      <c r="S720" s="77"/>
    </row>
    <row r="721" ht="15">
      <c r="S721" s="77"/>
    </row>
    <row r="722" ht="15">
      <c r="S722" s="77"/>
    </row>
    <row r="723" ht="15">
      <c r="S723" s="77"/>
    </row>
    <row r="724" ht="15">
      <c r="S724" s="77"/>
    </row>
    <row r="725" ht="15">
      <c r="S725" s="77"/>
    </row>
    <row r="726" ht="15">
      <c r="S726" s="77"/>
    </row>
    <row r="727" ht="15">
      <c r="S727" s="77"/>
    </row>
    <row r="728" ht="15">
      <c r="S728" s="77"/>
    </row>
    <row r="729" ht="15">
      <c r="S729" s="77"/>
    </row>
    <row r="730" ht="15">
      <c r="S730" s="77"/>
    </row>
    <row r="731" ht="15">
      <c r="S731" s="77"/>
    </row>
    <row r="732" ht="15">
      <c r="S732" s="77"/>
    </row>
    <row r="733" ht="15">
      <c r="S733" s="77"/>
    </row>
    <row r="734" ht="15">
      <c r="S734" s="77"/>
    </row>
    <row r="735" ht="15">
      <c r="S735" s="77"/>
    </row>
    <row r="736" ht="15">
      <c r="S736" s="77"/>
    </row>
    <row r="737" ht="15">
      <c r="S737" s="77"/>
    </row>
    <row r="738" ht="15">
      <c r="S738" s="77"/>
    </row>
    <row r="739" ht="15">
      <c r="S739" s="77"/>
    </row>
    <row r="740" ht="15">
      <c r="S740" s="77"/>
    </row>
    <row r="741" ht="15">
      <c r="S741" s="77"/>
    </row>
    <row r="742" ht="15">
      <c r="S742" s="77"/>
    </row>
    <row r="743" ht="15">
      <c r="S743" s="77"/>
    </row>
    <row r="744" ht="15">
      <c r="S744" s="77"/>
    </row>
    <row r="745" ht="15">
      <c r="S745" s="77"/>
    </row>
    <row r="746" ht="15">
      <c r="S746" s="77"/>
    </row>
    <row r="747" ht="15">
      <c r="S747" s="77"/>
    </row>
    <row r="748" ht="15">
      <c r="S748" s="77"/>
    </row>
    <row r="749" ht="15">
      <c r="S749" s="77"/>
    </row>
    <row r="750" ht="15">
      <c r="S750" s="77"/>
    </row>
    <row r="751" ht="15">
      <c r="S751" s="77"/>
    </row>
    <row r="752" ht="15">
      <c r="S752" s="77"/>
    </row>
    <row r="753" ht="15">
      <c r="S753" s="77"/>
    </row>
    <row r="754" ht="15">
      <c r="S754" s="77"/>
    </row>
    <row r="755" ht="15">
      <c r="S755" s="77"/>
    </row>
    <row r="756" ht="15">
      <c r="S756" s="77"/>
    </row>
    <row r="757" ht="15">
      <c r="S757" s="77"/>
    </row>
    <row r="758" ht="15">
      <c r="S758" s="77"/>
    </row>
    <row r="759" ht="15">
      <c r="S759" s="77"/>
    </row>
    <row r="760" ht="15">
      <c r="S760" s="77"/>
    </row>
    <row r="761" ht="15">
      <c r="S761" s="77"/>
    </row>
    <row r="762" ht="15">
      <c r="S762" s="77"/>
    </row>
    <row r="763" ht="15">
      <c r="S763" s="77"/>
    </row>
    <row r="764" ht="15">
      <c r="S764" s="77"/>
    </row>
    <row r="765" ht="15">
      <c r="S765" s="77"/>
    </row>
    <row r="766" ht="15">
      <c r="S766" s="77"/>
    </row>
    <row r="767" ht="15">
      <c r="S767" s="77"/>
    </row>
    <row r="768" ht="15">
      <c r="S768" s="77"/>
    </row>
    <row r="769" ht="15">
      <c r="S769" s="77"/>
    </row>
    <row r="770" ht="15">
      <c r="S770" s="77"/>
    </row>
    <row r="771" ht="15">
      <c r="S771" s="77"/>
    </row>
    <row r="772" ht="15">
      <c r="S772" s="77"/>
    </row>
    <row r="773" ht="15">
      <c r="S773" s="77"/>
    </row>
    <row r="774" ht="15">
      <c r="S774" s="77"/>
    </row>
    <row r="775" ht="15">
      <c r="S775" s="77"/>
    </row>
    <row r="776" ht="15">
      <c r="S776" s="77"/>
    </row>
    <row r="777" ht="15">
      <c r="S777" s="77"/>
    </row>
    <row r="778" ht="15">
      <c r="S778" s="77"/>
    </row>
    <row r="779" ht="15">
      <c r="S779" s="77"/>
    </row>
    <row r="780" ht="15">
      <c r="S780" s="77"/>
    </row>
    <row r="781" ht="15">
      <c r="S781" s="77"/>
    </row>
    <row r="782" ht="15">
      <c r="S782" s="77"/>
    </row>
    <row r="783" ht="15">
      <c r="S783" s="77"/>
    </row>
    <row r="784" ht="15">
      <c r="S784" s="77"/>
    </row>
    <row r="785" ht="15">
      <c r="S785" s="77"/>
    </row>
    <row r="786" ht="15">
      <c r="S786" s="77"/>
    </row>
    <row r="787" ht="15">
      <c r="S787" s="77"/>
    </row>
    <row r="788" ht="15">
      <c r="S788" s="77"/>
    </row>
    <row r="789" ht="15">
      <c r="S789" s="77"/>
    </row>
    <row r="790" ht="15">
      <c r="S790" s="77"/>
    </row>
    <row r="791" ht="15">
      <c r="S791" s="77"/>
    </row>
    <row r="792" ht="15">
      <c r="S792" s="77"/>
    </row>
    <row r="793" ht="15">
      <c r="S793" s="77"/>
    </row>
    <row r="794" ht="15">
      <c r="S794" s="77"/>
    </row>
    <row r="795" ht="15">
      <c r="S795" s="77"/>
    </row>
    <row r="796" ht="15">
      <c r="S796" s="77"/>
    </row>
    <row r="797" ht="15">
      <c r="S797" s="77"/>
    </row>
    <row r="798" ht="15">
      <c r="S798" s="77"/>
    </row>
    <row r="799" ht="15">
      <c r="S799" s="77"/>
    </row>
    <row r="800" ht="15">
      <c r="S800" s="77"/>
    </row>
    <row r="801" ht="15">
      <c r="S801" s="77"/>
    </row>
    <row r="802" ht="15">
      <c r="S802" s="77"/>
    </row>
    <row r="803" ht="15">
      <c r="S803" s="77"/>
    </row>
    <row r="804" ht="15">
      <c r="S804" s="77"/>
    </row>
    <row r="805" ht="15">
      <c r="S805" s="77"/>
    </row>
    <row r="806" ht="15">
      <c r="S806" s="77"/>
    </row>
    <row r="807" ht="15">
      <c r="S807" s="77"/>
    </row>
    <row r="808" ht="15">
      <c r="S808" s="77"/>
    </row>
    <row r="809" ht="15">
      <c r="S809" s="77"/>
    </row>
    <row r="810" ht="15">
      <c r="S810" s="77"/>
    </row>
    <row r="811" ht="15">
      <c r="S811" s="77"/>
    </row>
    <row r="812" ht="15">
      <c r="S812" s="77"/>
    </row>
    <row r="813" ht="15">
      <c r="S813" s="77"/>
    </row>
    <row r="814" ht="15">
      <c r="S814" s="77"/>
    </row>
    <row r="815" ht="15">
      <c r="S815" s="77"/>
    </row>
    <row r="816" ht="15">
      <c r="S816" s="77"/>
    </row>
    <row r="817" ht="15">
      <c r="S817" s="77"/>
    </row>
    <row r="818" ht="15">
      <c r="S818" s="77"/>
    </row>
    <row r="819" ht="15">
      <c r="S819" s="77"/>
    </row>
    <row r="820" ht="15">
      <c r="S820" s="77"/>
    </row>
    <row r="821" ht="15">
      <c r="S821" s="77"/>
    </row>
    <row r="822" ht="15">
      <c r="S822" s="77"/>
    </row>
    <row r="823" ht="15">
      <c r="S823" s="77"/>
    </row>
    <row r="824" ht="15">
      <c r="S824" s="77"/>
    </row>
    <row r="825" ht="15">
      <c r="S825" s="77"/>
    </row>
    <row r="826" ht="15">
      <c r="S826" s="77"/>
    </row>
    <row r="827" ht="15">
      <c r="S827" s="77"/>
    </row>
    <row r="828" ht="15">
      <c r="S828" s="77"/>
    </row>
    <row r="829" ht="15">
      <c r="S829" s="77"/>
    </row>
    <row r="830" ht="15">
      <c r="S830" s="77"/>
    </row>
    <row r="831" ht="15">
      <c r="S831" s="77"/>
    </row>
    <row r="832" ht="15">
      <c r="S832" s="77"/>
    </row>
    <row r="833" ht="15">
      <c r="S833" s="77"/>
    </row>
    <row r="834" ht="15">
      <c r="S834" s="77"/>
    </row>
    <row r="835" ht="15">
      <c r="S835" s="77"/>
    </row>
    <row r="836" ht="15">
      <c r="S836" s="77"/>
    </row>
    <row r="837" ht="15">
      <c r="S837" s="77"/>
    </row>
    <row r="838" ht="15">
      <c r="S838" s="77"/>
    </row>
    <row r="839" ht="15">
      <c r="S839" s="77"/>
    </row>
    <row r="840" ht="15">
      <c r="S840" s="77"/>
    </row>
    <row r="841" ht="15">
      <c r="S841" s="77"/>
    </row>
    <row r="842" ht="15">
      <c r="S842" s="77"/>
    </row>
    <row r="843" ht="15">
      <c r="S843" s="77"/>
    </row>
    <row r="844" ht="15">
      <c r="S844" s="77"/>
    </row>
    <row r="845" ht="15">
      <c r="S845" s="77"/>
    </row>
    <row r="846" ht="15">
      <c r="S846" s="77"/>
    </row>
    <row r="847" ht="15">
      <c r="S847" s="77"/>
    </row>
    <row r="848" ht="15">
      <c r="S848" s="77"/>
    </row>
    <row r="849" ht="15">
      <c r="S849" s="77"/>
    </row>
    <row r="850" ht="15">
      <c r="S850" s="77"/>
    </row>
    <row r="851" ht="15">
      <c r="S851" s="77"/>
    </row>
    <row r="852" ht="15">
      <c r="S852" s="77"/>
    </row>
    <row r="853" ht="15">
      <c r="S853" s="77"/>
    </row>
    <row r="854" ht="15">
      <c r="S854" s="77"/>
    </row>
    <row r="855" ht="15">
      <c r="S855" s="77"/>
    </row>
    <row r="856" ht="15">
      <c r="S856" s="77"/>
    </row>
    <row r="857" ht="15">
      <c r="S857" s="77"/>
    </row>
    <row r="858" ht="15">
      <c r="S858" s="77"/>
    </row>
    <row r="859" ht="15">
      <c r="S859" s="77"/>
    </row>
    <row r="860" ht="15">
      <c r="S860" s="77"/>
    </row>
    <row r="861" ht="15">
      <c r="S861" s="77"/>
    </row>
    <row r="862" ht="15">
      <c r="S862" s="77"/>
    </row>
    <row r="863" ht="15">
      <c r="S863" s="77"/>
    </row>
    <row r="864" ht="15">
      <c r="S864" s="77"/>
    </row>
    <row r="865" ht="15">
      <c r="S865" s="77"/>
    </row>
    <row r="866" ht="15">
      <c r="S866" s="77"/>
    </row>
    <row r="867" ht="15">
      <c r="S867" s="77"/>
    </row>
    <row r="868" ht="15">
      <c r="S868" s="77"/>
    </row>
    <row r="869" ht="15">
      <c r="S869" s="77"/>
    </row>
    <row r="870" ht="15">
      <c r="S870" s="77"/>
    </row>
    <row r="871" ht="15">
      <c r="S871" s="77"/>
    </row>
    <row r="872" ht="15">
      <c r="S872" s="77"/>
    </row>
    <row r="873" ht="15">
      <c r="S873" s="77"/>
    </row>
    <row r="874" ht="15">
      <c r="S874" s="77"/>
    </row>
    <row r="875" ht="15">
      <c r="S875" s="77"/>
    </row>
    <row r="876" ht="15">
      <c r="S876" s="77"/>
    </row>
    <row r="877" ht="15">
      <c r="S877" s="77"/>
    </row>
    <row r="878" ht="15">
      <c r="S878" s="77"/>
    </row>
    <row r="879" ht="15">
      <c r="S879" s="77"/>
    </row>
    <row r="880" ht="15">
      <c r="S880" s="77"/>
    </row>
    <row r="881" ht="15">
      <c r="S881" s="77"/>
    </row>
    <row r="882" ht="15">
      <c r="S882" s="77"/>
    </row>
    <row r="883" ht="15">
      <c r="S883" s="77"/>
    </row>
    <row r="884" ht="15">
      <c r="S884" s="77"/>
    </row>
    <row r="885" ht="15">
      <c r="S885" s="77"/>
    </row>
    <row r="886" ht="15">
      <c r="S886" s="77"/>
    </row>
    <row r="887" ht="15">
      <c r="S887" s="77"/>
    </row>
    <row r="888" ht="15">
      <c r="S888" s="77"/>
    </row>
    <row r="889" ht="15">
      <c r="S889" s="77"/>
    </row>
    <row r="890" ht="15">
      <c r="S890" s="77"/>
    </row>
    <row r="891" ht="15">
      <c r="S891" s="77"/>
    </row>
    <row r="892" ht="15">
      <c r="S892" s="77"/>
    </row>
    <row r="893" ht="15">
      <c r="S893" s="77"/>
    </row>
    <row r="894" ht="15">
      <c r="S894" s="77"/>
    </row>
    <row r="895" ht="15">
      <c r="S895" s="77"/>
    </row>
    <row r="896" ht="15">
      <c r="S896" s="77"/>
    </row>
    <row r="897" ht="15">
      <c r="S897" s="77"/>
    </row>
    <row r="898" ht="15">
      <c r="S898" s="77"/>
    </row>
    <row r="899" ht="15">
      <c r="S899" s="77"/>
    </row>
    <row r="900" ht="15">
      <c r="S900" s="77"/>
    </row>
    <row r="901" ht="15">
      <c r="S901" s="77"/>
    </row>
    <row r="902" ht="15">
      <c r="S902" s="77"/>
    </row>
    <row r="903" ht="15">
      <c r="S903" s="77"/>
    </row>
    <row r="904" ht="15">
      <c r="S904" s="77"/>
    </row>
    <row r="905" ht="15">
      <c r="S905" s="77"/>
    </row>
    <row r="906" ht="15">
      <c r="S906" s="77"/>
    </row>
    <row r="907" ht="15">
      <c r="S907" s="77"/>
    </row>
    <row r="908" ht="15">
      <c r="S908" s="77"/>
    </row>
    <row r="909" ht="15">
      <c r="S909" s="77"/>
    </row>
    <row r="910" ht="15">
      <c r="S910" s="77"/>
    </row>
    <row r="911" ht="15">
      <c r="S911" s="77"/>
    </row>
    <row r="912" ht="15">
      <c r="S912" s="77"/>
    </row>
    <row r="913" ht="15">
      <c r="S913" s="77"/>
    </row>
    <row r="914" ht="15">
      <c r="S914" s="77"/>
    </row>
    <row r="915" ht="15">
      <c r="S915" s="77"/>
    </row>
    <row r="916" ht="15">
      <c r="S916" s="77"/>
    </row>
    <row r="917" ht="15">
      <c r="S917" s="77"/>
    </row>
    <row r="918" ht="15">
      <c r="S918" s="77"/>
    </row>
    <row r="919" ht="15">
      <c r="S919" s="77"/>
    </row>
    <row r="920" ht="15">
      <c r="S920" s="77"/>
    </row>
    <row r="921" ht="15">
      <c r="S921" s="77"/>
    </row>
    <row r="922" ht="15">
      <c r="S922" s="77"/>
    </row>
    <row r="923" ht="15">
      <c r="S923" s="77"/>
    </row>
    <row r="924" ht="15">
      <c r="S924" s="77"/>
    </row>
    <row r="925" ht="15">
      <c r="S925" s="77"/>
    </row>
    <row r="926" ht="15">
      <c r="S926" s="77"/>
    </row>
    <row r="927" ht="15">
      <c r="S927" s="77"/>
    </row>
    <row r="928" ht="15">
      <c r="S928" s="77"/>
    </row>
    <row r="929" ht="15">
      <c r="S929" s="77"/>
    </row>
    <row r="930" ht="15">
      <c r="S930" s="77"/>
    </row>
    <row r="931" ht="15">
      <c r="S931" s="77"/>
    </row>
    <row r="932" ht="15">
      <c r="S932" s="77"/>
    </row>
    <row r="933" ht="15">
      <c r="S933" s="77"/>
    </row>
    <row r="934" ht="15">
      <c r="S934" s="77"/>
    </row>
    <row r="935" ht="15">
      <c r="S935" s="77"/>
    </row>
    <row r="936" ht="15">
      <c r="S936" s="77"/>
    </row>
    <row r="937" ht="15">
      <c r="S937" s="77"/>
    </row>
    <row r="938" ht="15">
      <c r="S938" s="77"/>
    </row>
    <row r="939" ht="15">
      <c r="S939" s="77"/>
    </row>
    <row r="940" ht="15">
      <c r="S940" s="77"/>
    </row>
    <row r="941" ht="15">
      <c r="S941" s="77"/>
    </row>
    <row r="942" ht="15">
      <c r="S942" s="77"/>
    </row>
    <row r="943" ht="15">
      <c r="S943" s="77"/>
    </row>
    <row r="944" ht="15">
      <c r="S944" s="77"/>
    </row>
    <row r="945" ht="15">
      <c r="S945" s="77"/>
    </row>
    <row r="946" ht="15">
      <c r="S946" s="77"/>
    </row>
    <row r="947" ht="15">
      <c r="S947" s="77"/>
    </row>
    <row r="948" ht="15">
      <c r="S948" s="77"/>
    </row>
    <row r="949" ht="15">
      <c r="S949" s="77"/>
    </row>
    <row r="950" ht="15">
      <c r="S950" s="77"/>
    </row>
    <row r="951" ht="15">
      <c r="S951" s="77"/>
    </row>
    <row r="952" ht="15">
      <c r="S952" s="77"/>
    </row>
    <row r="953" ht="15">
      <c r="S953" s="77"/>
    </row>
    <row r="954" ht="15">
      <c r="S954" s="77"/>
    </row>
    <row r="955" ht="15">
      <c r="S955" s="77"/>
    </row>
    <row r="956" ht="15">
      <c r="S956" s="77"/>
    </row>
    <row r="957" ht="15">
      <c r="S957" s="77"/>
    </row>
    <row r="958" ht="15">
      <c r="S958" s="77"/>
    </row>
    <row r="959" ht="15">
      <c r="S959" s="77"/>
    </row>
    <row r="960" ht="15">
      <c r="S960" s="77"/>
    </row>
    <row r="961" ht="15">
      <c r="S961" s="77"/>
    </row>
    <row r="962" ht="15">
      <c r="S962" s="77"/>
    </row>
    <row r="963" ht="15">
      <c r="S963" s="77"/>
    </row>
    <row r="964" ht="15">
      <c r="S964" s="77"/>
    </row>
    <row r="965" ht="15">
      <c r="S965" s="77"/>
    </row>
    <row r="966" ht="15">
      <c r="S966" s="77"/>
    </row>
    <row r="967" ht="15">
      <c r="S967" s="77"/>
    </row>
    <row r="968" ht="15">
      <c r="S968" s="77"/>
    </row>
    <row r="969" ht="15">
      <c r="S969" s="77"/>
    </row>
    <row r="970" ht="15">
      <c r="S970" s="77"/>
    </row>
    <row r="971" ht="15">
      <c r="S971" s="77"/>
    </row>
    <row r="972" ht="15">
      <c r="S972" s="77"/>
    </row>
    <row r="973" ht="15">
      <c r="S973" s="77"/>
    </row>
    <row r="974" ht="15">
      <c r="S974" s="77"/>
    </row>
    <row r="975" ht="15">
      <c r="S975" s="77"/>
    </row>
    <row r="976" ht="15">
      <c r="S976" s="77"/>
    </row>
    <row r="977" ht="15">
      <c r="S977" s="77"/>
    </row>
    <row r="978" ht="15">
      <c r="S978" s="77"/>
    </row>
    <row r="979" ht="15">
      <c r="S979" s="77"/>
    </row>
    <row r="980" ht="15">
      <c r="S980" s="77"/>
    </row>
    <row r="981" ht="15">
      <c r="S981" s="77"/>
    </row>
    <row r="982" ht="15">
      <c r="S982" s="77"/>
    </row>
    <row r="983" ht="15">
      <c r="S983" s="77"/>
    </row>
    <row r="984" ht="15">
      <c r="S984" s="77"/>
    </row>
    <row r="985" ht="15">
      <c r="S985" s="77"/>
    </row>
    <row r="986" ht="15">
      <c r="S986" s="77"/>
    </row>
    <row r="987" ht="15">
      <c r="S987" s="77"/>
    </row>
    <row r="988" ht="15">
      <c r="S988" s="77"/>
    </row>
    <row r="989" ht="15">
      <c r="S989" s="77"/>
    </row>
    <row r="990" ht="15">
      <c r="S990" s="77"/>
    </row>
    <row r="991" ht="15">
      <c r="S991" s="77"/>
    </row>
    <row r="992" ht="15">
      <c r="S992" s="77"/>
    </row>
    <row r="993" ht="15">
      <c r="S993" s="77"/>
    </row>
    <row r="994" ht="15">
      <c r="S994" s="77"/>
    </row>
    <row r="995" ht="15">
      <c r="S995" s="77"/>
    </row>
    <row r="996" ht="15">
      <c r="S996" s="77"/>
    </row>
    <row r="997" ht="15">
      <c r="S997" s="77"/>
    </row>
    <row r="998" ht="15">
      <c r="S998" s="77"/>
    </row>
    <row r="999" ht="15">
      <c r="S999" s="77"/>
    </row>
    <row r="1000" ht="15">
      <c r="S1000" s="77"/>
    </row>
    <row r="1001" ht="15">
      <c r="S1001" s="77"/>
    </row>
    <row r="1002" ht="15">
      <c r="S1002" s="77"/>
    </row>
    <row r="1003" ht="15">
      <c r="S1003" s="77"/>
    </row>
    <row r="1004" ht="15">
      <c r="S1004" s="77"/>
    </row>
    <row r="1005" ht="15">
      <c r="S1005" s="77"/>
    </row>
    <row r="1006" ht="15">
      <c r="S1006" s="77"/>
    </row>
    <row r="1007" ht="15">
      <c r="S1007" s="77"/>
    </row>
    <row r="1008" ht="15">
      <c r="S1008" s="77"/>
    </row>
    <row r="1009" ht="15">
      <c r="S1009" s="77"/>
    </row>
    <row r="1010" ht="15">
      <c r="S1010" s="77"/>
    </row>
    <row r="1011" ht="15">
      <c r="S1011" s="77"/>
    </row>
    <row r="1012" ht="15">
      <c r="S1012" s="77"/>
    </row>
    <row r="1013" ht="15">
      <c r="S1013" s="77"/>
    </row>
    <row r="1014" ht="15">
      <c r="S1014" s="77"/>
    </row>
    <row r="1015" ht="15">
      <c r="S1015" s="77"/>
    </row>
    <row r="1016" ht="15">
      <c r="S1016" s="77"/>
    </row>
    <row r="1017" ht="15">
      <c r="S1017" s="77"/>
    </row>
    <row r="1018" ht="15">
      <c r="S1018" s="77"/>
    </row>
    <row r="1019" ht="15">
      <c r="S1019" s="77"/>
    </row>
    <row r="1020" ht="15">
      <c r="S1020" s="77"/>
    </row>
    <row r="1021" ht="15">
      <c r="S1021" s="77"/>
    </row>
    <row r="1022" ht="15">
      <c r="S1022" s="77"/>
    </row>
    <row r="1023" ht="15">
      <c r="S1023" s="77"/>
    </row>
    <row r="1024" ht="15">
      <c r="S1024" s="77"/>
    </row>
    <row r="1025" ht="15">
      <c r="S1025" s="77"/>
    </row>
    <row r="1026" ht="15">
      <c r="S1026" s="77"/>
    </row>
    <row r="1027" ht="15">
      <c r="S1027" s="77"/>
    </row>
    <row r="1028" ht="15">
      <c r="S1028" s="77"/>
    </row>
    <row r="1029" ht="15">
      <c r="S1029" s="77"/>
    </row>
    <row r="1030" ht="15">
      <c r="S1030" s="77"/>
    </row>
    <row r="1031" ht="15">
      <c r="S1031" s="77"/>
    </row>
    <row r="1032" ht="15">
      <c r="S1032" s="77"/>
    </row>
    <row r="1033" ht="15">
      <c r="S1033" s="77"/>
    </row>
    <row r="1034" ht="15">
      <c r="S1034" s="77"/>
    </row>
    <row r="1035" ht="15">
      <c r="S1035" s="77"/>
    </row>
    <row r="1036" ht="15">
      <c r="S1036" s="77"/>
    </row>
    <row r="1037" ht="15">
      <c r="S1037" s="77"/>
    </row>
    <row r="1038" ht="15">
      <c r="S1038" s="77"/>
    </row>
    <row r="1039" ht="15">
      <c r="S1039" s="77"/>
    </row>
    <row r="1040" ht="15">
      <c r="S1040" s="77"/>
    </row>
    <row r="1041" ht="15">
      <c r="S1041" s="77"/>
    </row>
    <row r="1042" ht="15">
      <c r="S1042" s="77"/>
    </row>
    <row r="1043" ht="15">
      <c r="S1043" s="77"/>
    </row>
    <row r="1044" ht="15">
      <c r="S1044" s="77"/>
    </row>
    <row r="1045" ht="15">
      <c r="S1045" s="77"/>
    </row>
    <row r="1046" ht="15">
      <c r="S1046" s="77"/>
    </row>
    <row r="1047" ht="15">
      <c r="S1047" s="77"/>
    </row>
    <row r="1048" ht="15">
      <c r="S1048" s="77"/>
    </row>
    <row r="1049" ht="15">
      <c r="S1049" s="77"/>
    </row>
    <row r="1050" ht="15">
      <c r="S1050" s="77"/>
    </row>
    <row r="1051" ht="15">
      <c r="S1051" s="77"/>
    </row>
    <row r="1052" ht="15">
      <c r="S1052" s="77"/>
    </row>
    <row r="1053" ht="15">
      <c r="S1053" s="77"/>
    </row>
    <row r="1054" ht="15">
      <c r="S1054" s="77"/>
    </row>
    <row r="1055" ht="15">
      <c r="S1055" s="77"/>
    </row>
    <row r="1056" ht="15">
      <c r="S1056" s="77"/>
    </row>
    <row r="1057" ht="15">
      <c r="S1057" s="77"/>
    </row>
    <row r="1058" ht="15">
      <c r="S1058" s="77"/>
    </row>
    <row r="1059" ht="15">
      <c r="S1059" s="77"/>
    </row>
    <row r="1060" ht="15">
      <c r="S1060" s="77"/>
    </row>
    <row r="1061" ht="15">
      <c r="S1061" s="77"/>
    </row>
    <row r="1062" ht="15">
      <c r="S1062" s="77"/>
    </row>
    <row r="1063" ht="15">
      <c r="S1063" s="77"/>
    </row>
    <row r="1064" ht="15">
      <c r="S1064" s="77"/>
    </row>
    <row r="1065" ht="15">
      <c r="S1065" s="77"/>
    </row>
    <row r="1066" ht="15">
      <c r="S1066" s="77"/>
    </row>
    <row r="1067" ht="15">
      <c r="S1067" s="77"/>
    </row>
    <row r="1068" ht="15">
      <c r="S1068" s="77"/>
    </row>
    <row r="1069" ht="15">
      <c r="S1069" s="77"/>
    </row>
    <row r="1070" ht="15">
      <c r="S1070" s="77"/>
    </row>
    <row r="1071" ht="15">
      <c r="S1071" s="77"/>
    </row>
    <row r="1072" ht="15">
      <c r="S1072" s="77"/>
    </row>
    <row r="1073" ht="15">
      <c r="S1073" s="77"/>
    </row>
    <row r="1074" ht="15">
      <c r="S1074" s="77"/>
    </row>
    <row r="1075" ht="15">
      <c r="S1075" s="77"/>
    </row>
    <row r="1076" ht="15">
      <c r="S1076" s="77"/>
    </row>
    <row r="1077" ht="15">
      <c r="S1077" s="77"/>
    </row>
    <row r="1078" ht="15">
      <c r="S1078" s="77"/>
    </row>
    <row r="1079" ht="15">
      <c r="S1079" s="77"/>
    </row>
    <row r="1080" ht="15">
      <c r="S1080" s="77"/>
    </row>
    <row r="1081" ht="15">
      <c r="S1081" s="77"/>
    </row>
    <row r="1082" ht="15">
      <c r="S1082" s="77"/>
    </row>
    <row r="1083" ht="15">
      <c r="S1083" s="77"/>
    </row>
    <row r="1084" ht="15">
      <c r="S1084" s="77"/>
    </row>
    <row r="1085" ht="15">
      <c r="S1085" s="77"/>
    </row>
    <row r="1086" ht="15">
      <c r="S1086" s="77"/>
    </row>
    <row r="1087" ht="15">
      <c r="S1087" s="77"/>
    </row>
    <row r="1088" ht="15">
      <c r="S1088" s="77"/>
    </row>
    <row r="1089" ht="15">
      <c r="S1089" s="77"/>
    </row>
    <row r="1090" ht="15">
      <c r="S1090" s="77"/>
    </row>
    <row r="1091" ht="15">
      <c r="S1091" s="77"/>
    </row>
    <row r="1092" ht="15">
      <c r="S1092" s="77"/>
    </row>
    <row r="1093" ht="15">
      <c r="S1093" s="77"/>
    </row>
    <row r="1094" ht="15">
      <c r="S1094" s="77"/>
    </row>
    <row r="1095" ht="15">
      <c r="S1095" s="77"/>
    </row>
    <row r="1096" ht="15">
      <c r="S1096" s="77"/>
    </row>
    <row r="1097" ht="15">
      <c r="S1097" s="77"/>
    </row>
    <row r="1098" ht="15">
      <c r="S1098" s="77"/>
    </row>
    <row r="1099" ht="15">
      <c r="S1099" s="77"/>
    </row>
    <row r="1100" ht="15">
      <c r="S1100" s="77"/>
    </row>
    <row r="1101" ht="15">
      <c r="S1101" s="77"/>
    </row>
    <row r="1102" ht="15">
      <c r="S1102" s="77"/>
    </row>
    <row r="1103" ht="15">
      <c r="S1103" s="77"/>
    </row>
    <row r="1104" ht="15">
      <c r="S1104" s="77"/>
    </row>
    <row r="1105" ht="15">
      <c r="S1105" s="77"/>
    </row>
    <row r="1106" ht="15">
      <c r="S1106" s="77"/>
    </row>
    <row r="1107" ht="15">
      <c r="S1107" s="77"/>
    </row>
    <row r="1108" ht="15">
      <c r="S1108" s="77"/>
    </row>
    <row r="1109" ht="15">
      <c r="S1109" s="77"/>
    </row>
    <row r="1110" ht="15">
      <c r="S1110" s="77"/>
    </row>
    <row r="1111" ht="15">
      <c r="S1111" s="77"/>
    </row>
    <row r="1112" ht="15">
      <c r="S1112" s="77"/>
    </row>
    <row r="1113" ht="15">
      <c r="S1113" s="77"/>
    </row>
    <row r="1114" ht="15">
      <c r="S1114" s="77"/>
    </row>
    <row r="1115" ht="15">
      <c r="S1115" s="77"/>
    </row>
    <row r="1116" ht="15">
      <c r="S1116" s="77"/>
    </row>
    <row r="1117" ht="15">
      <c r="S1117" s="77"/>
    </row>
    <row r="1118" ht="15">
      <c r="S1118" s="77"/>
    </row>
    <row r="1119" ht="15">
      <c r="S1119" s="77"/>
    </row>
    <row r="1120" ht="15">
      <c r="S1120" s="77"/>
    </row>
    <row r="1121" ht="15">
      <c r="S1121" s="77"/>
    </row>
    <row r="1122" ht="15">
      <c r="S1122" s="77"/>
    </row>
    <row r="1123" ht="15">
      <c r="S1123" s="77"/>
    </row>
    <row r="1124" ht="15">
      <c r="S1124" s="77"/>
    </row>
    <row r="1125" ht="15">
      <c r="S1125" s="77"/>
    </row>
    <row r="1126" ht="15">
      <c r="S1126" s="77"/>
    </row>
    <row r="1127" ht="15">
      <c r="S1127" s="77"/>
    </row>
    <row r="1128" ht="15">
      <c r="S1128" s="77"/>
    </row>
    <row r="1129" ht="15">
      <c r="S1129" s="77"/>
    </row>
    <row r="1130" ht="15">
      <c r="S1130" s="77"/>
    </row>
    <row r="1131" ht="15">
      <c r="S1131" s="77"/>
    </row>
    <row r="1132" ht="15">
      <c r="S1132" s="77"/>
    </row>
    <row r="1133" ht="15">
      <c r="S1133" s="77"/>
    </row>
    <row r="1134" ht="15">
      <c r="S1134" s="77"/>
    </row>
    <row r="1135" ht="15">
      <c r="S1135" s="77"/>
    </row>
    <row r="1136" ht="15">
      <c r="S1136" s="77"/>
    </row>
    <row r="1137" ht="15">
      <c r="S1137" s="77"/>
    </row>
    <row r="1138" ht="15">
      <c r="S1138" s="77"/>
    </row>
    <row r="1139" ht="15">
      <c r="S1139" s="77"/>
    </row>
    <row r="1140" ht="15">
      <c r="S1140" s="77"/>
    </row>
    <row r="1141" ht="15">
      <c r="S1141" s="77"/>
    </row>
    <row r="1142" ht="15">
      <c r="S1142" s="77"/>
    </row>
    <row r="1143" ht="15">
      <c r="S1143" s="77"/>
    </row>
    <row r="1144" ht="15">
      <c r="S1144" s="77"/>
    </row>
    <row r="1145" ht="15">
      <c r="S1145" s="77"/>
    </row>
    <row r="1146" ht="15">
      <c r="S1146" s="77"/>
    </row>
    <row r="1147" ht="15">
      <c r="S1147" s="77"/>
    </row>
    <row r="1148" ht="15">
      <c r="S1148" s="77"/>
    </row>
    <row r="1149" ht="15">
      <c r="S1149" s="77"/>
    </row>
    <row r="1150" ht="15">
      <c r="S1150" s="77"/>
    </row>
    <row r="1151" ht="15">
      <c r="S1151" s="77"/>
    </row>
    <row r="1152" ht="15">
      <c r="S1152" s="77"/>
    </row>
    <row r="1153" ht="15">
      <c r="S1153" s="77"/>
    </row>
    <row r="1154" ht="15">
      <c r="S1154" s="77"/>
    </row>
    <row r="1155" ht="15">
      <c r="S1155" s="77"/>
    </row>
    <row r="1156" ht="15">
      <c r="S1156" s="77"/>
    </row>
    <row r="1157" ht="15">
      <c r="S1157" s="77"/>
    </row>
    <row r="1158" ht="15">
      <c r="S1158" s="77"/>
    </row>
    <row r="1159" ht="15">
      <c r="S1159" s="77"/>
    </row>
    <row r="1160" ht="15">
      <c r="S1160" s="77"/>
    </row>
    <row r="1161" ht="15">
      <c r="S1161" s="77"/>
    </row>
    <row r="1162" ht="15">
      <c r="S1162" s="77"/>
    </row>
    <row r="1163" ht="15">
      <c r="S1163" s="77"/>
    </row>
    <row r="1164" ht="15">
      <c r="S1164" s="77"/>
    </row>
    <row r="1165" ht="15">
      <c r="S1165" s="77"/>
    </row>
    <row r="1166" ht="15">
      <c r="S1166" s="77"/>
    </row>
    <row r="1167" ht="15">
      <c r="S1167" s="77"/>
    </row>
    <row r="1168" ht="15">
      <c r="S1168" s="77"/>
    </row>
    <row r="1169" ht="15">
      <c r="S1169" s="77"/>
    </row>
    <row r="1170" ht="15">
      <c r="S1170" s="77"/>
    </row>
    <row r="1171" ht="15">
      <c r="S1171" s="77"/>
    </row>
    <row r="1172" ht="15">
      <c r="S1172" s="77"/>
    </row>
    <row r="1173" ht="15">
      <c r="S1173" s="77"/>
    </row>
    <row r="1174" ht="15">
      <c r="S1174" s="77"/>
    </row>
    <row r="1175" ht="15">
      <c r="S1175" s="77"/>
    </row>
    <row r="1176" ht="15">
      <c r="S1176" s="77"/>
    </row>
    <row r="1177" ht="15">
      <c r="S1177" s="77"/>
    </row>
    <row r="1178" ht="15">
      <c r="S1178" s="77"/>
    </row>
    <row r="1179" ht="15">
      <c r="S1179" s="77"/>
    </row>
    <row r="1180" ht="15">
      <c r="S1180" s="77"/>
    </row>
    <row r="1181" ht="15">
      <c r="S1181" s="77"/>
    </row>
    <row r="1182" ht="15">
      <c r="S1182" s="77"/>
    </row>
    <row r="1183" ht="15">
      <c r="S1183" s="77"/>
    </row>
    <row r="1184" ht="15">
      <c r="S1184" s="77"/>
    </row>
    <row r="1185" ht="15">
      <c r="S1185" s="77"/>
    </row>
    <row r="1186" ht="15">
      <c r="S1186" s="77"/>
    </row>
    <row r="1187" ht="15">
      <c r="S1187" s="77"/>
    </row>
    <row r="1188" ht="15">
      <c r="S1188" s="77"/>
    </row>
    <row r="1189" ht="15">
      <c r="S1189" s="77"/>
    </row>
    <row r="1190" ht="15">
      <c r="S1190" s="77"/>
    </row>
    <row r="1191" ht="15">
      <c r="S1191" s="77"/>
    </row>
    <row r="1192" ht="15">
      <c r="S1192" s="77"/>
    </row>
    <row r="1193" ht="15">
      <c r="S1193" s="77"/>
    </row>
    <row r="1194" ht="15">
      <c r="S1194" s="77"/>
    </row>
    <row r="1195" ht="15">
      <c r="S1195" s="77"/>
    </row>
    <row r="1196" ht="15">
      <c r="S1196" s="77"/>
    </row>
    <row r="1197" ht="15">
      <c r="S1197" s="77"/>
    </row>
    <row r="1198" ht="15">
      <c r="S1198" s="77"/>
    </row>
    <row r="1199" ht="15">
      <c r="S1199" s="77"/>
    </row>
    <row r="1200" ht="15">
      <c r="S1200" s="77"/>
    </row>
    <row r="1201" ht="15">
      <c r="S1201" s="77"/>
    </row>
    <row r="1202" ht="15">
      <c r="S1202" s="77"/>
    </row>
    <row r="1203" ht="15">
      <c r="S1203" s="77"/>
    </row>
    <row r="1204" ht="15">
      <c r="S1204" s="77"/>
    </row>
    <row r="1205" ht="15">
      <c r="S1205" s="77"/>
    </row>
    <row r="1206" ht="15">
      <c r="S1206" s="77"/>
    </row>
    <row r="1207" ht="15">
      <c r="S1207" s="77"/>
    </row>
    <row r="1208" ht="15">
      <c r="S1208" s="77"/>
    </row>
    <row r="1209" ht="15">
      <c r="S1209" s="77"/>
    </row>
    <row r="1210" ht="15">
      <c r="S1210" s="77"/>
    </row>
    <row r="1211" ht="15">
      <c r="S1211" s="77"/>
    </row>
    <row r="1212" ht="15">
      <c r="S1212" s="77"/>
    </row>
    <row r="1213" ht="15">
      <c r="S1213" s="77"/>
    </row>
    <row r="1214" ht="15">
      <c r="S1214" s="77"/>
    </row>
    <row r="1215" ht="15">
      <c r="S1215" s="77"/>
    </row>
    <row r="1216" ht="15">
      <c r="S1216" s="77"/>
    </row>
    <row r="1217" ht="15">
      <c r="S1217" s="77"/>
    </row>
    <row r="1218" ht="15">
      <c r="S1218" s="77"/>
    </row>
    <row r="1219" ht="15">
      <c r="S1219" s="77"/>
    </row>
    <row r="1220" ht="15">
      <c r="S1220" s="77"/>
    </row>
    <row r="1221" ht="15">
      <c r="S1221" s="77"/>
    </row>
    <row r="1222" ht="15">
      <c r="S1222" s="77"/>
    </row>
    <row r="1223" ht="15">
      <c r="S1223" s="77"/>
    </row>
    <row r="1224" ht="15">
      <c r="S1224" s="77"/>
    </row>
    <row r="1225" ht="15">
      <c r="S1225" s="77"/>
    </row>
    <row r="1226" ht="15">
      <c r="S1226" s="77"/>
    </row>
    <row r="1227" ht="15">
      <c r="S1227" s="77"/>
    </row>
    <row r="1228" ht="15">
      <c r="S1228" s="77"/>
    </row>
    <row r="1229" ht="15">
      <c r="S1229" s="77"/>
    </row>
    <row r="1230" ht="15">
      <c r="S1230" s="77"/>
    </row>
    <row r="1231" ht="15">
      <c r="S1231" s="77"/>
    </row>
    <row r="1232" ht="15">
      <c r="S1232" s="77"/>
    </row>
    <row r="1233" ht="15">
      <c r="S1233" s="77"/>
    </row>
    <row r="1234" ht="15">
      <c r="S1234" s="77"/>
    </row>
    <row r="1235" ht="15">
      <c r="S1235" s="77"/>
    </row>
    <row r="1236" ht="15">
      <c r="S1236" s="77"/>
    </row>
    <row r="1237" ht="15">
      <c r="S1237" s="77"/>
    </row>
    <row r="1238" ht="15">
      <c r="S1238" s="77"/>
    </row>
    <row r="1239" ht="15">
      <c r="S1239" s="77"/>
    </row>
    <row r="1240" ht="15">
      <c r="S1240" s="77"/>
    </row>
    <row r="1241" ht="15">
      <c r="S1241" s="77"/>
    </row>
    <row r="1242" ht="15">
      <c r="S1242" s="77"/>
    </row>
    <row r="1243" ht="15">
      <c r="S1243" s="77"/>
    </row>
    <row r="1244" ht="15">
      <c r="S1244" s="77"/>
    </row>
    <row r="1245" ht="15">
      <c r="S1245" s="77"/>
    </row>
    <row r="1246" ht="15">
      <c r="S1246" s="77"/>
    </row>
    <row r="1247" ht="15">
      <c r="S1247" s="77"/>
    </row>
    <row r="1248" ht="15">
      <c r="S1248" s="77"/>
    </row>
    <row r="1249" ht="15">
      <c r="S1249" s="77"/>
    </row>
    <row r="1250" ht="15">
      <c r="S1250" s="77"/>
    </row>
    <row r="1251" ht="15">
      <c r="S1251" s="77"/>
    </row>
    <row r="1252" ht="15">
      <c r="S1252" s="77"/>
    </row>
    <row r="1253" ht="15">
      <c r="S1253" s="77"/>
    </row>
    <row r="1254" ht="15">
      <c r="S1254" s="77"/>
    </row>
    <row r="1255" ht="15">
      <c r="S1255" s="77"/>
    </row>
    <row r="1256" ht="15">
      <c r="S1256" s="77"/>
    </row>
    <row r="1257" ht="15">
      <c r="S1257" s="77"/>
    </row>
    <row r="1258" ht="15">
      <c r="S1258" s="77"/>
    </row>
    <row r="1259" ht="15">
      <c r="S1259" s="77"/>
    </row>
    <row r="1260" ht="15">
      <c r="S1260" s="77"/>
    </row>
    <row r="1261" ht="15">
      <c r="S1261" s="77"/>
    </row>
    <row r="1262" ht="15">
      <c r="S1262" s="77"/>
    </row>
    <row r="1263" ht="15">
      <c r="S1263" s="77"/>
    </row>
    <row r="1264" ht="15">
      <c r="S1264" s="77"/>
    </row>
    <row r="1265" ht="15">
      <c r="S1265" s="77"/>
    </row>
    <row r="1266" ht="15">
      <c r="S1266" s="77"/>
    </row>
    <row r="1267" ht="15">
      <c r="S1267" s="77"/>
    </row>
    <row r="1268" ht="15">
      <c r="S1268" s="77"/>
    </row>
    <row r="1269" ht="15">
      <c r="S1269" s="77"/>
    </row>
    <row r="1270" ht="15">
      <c r="S1270" s="77"/>
    </row>
    <row r="1271" ht="15">
      <c r="S1271" s="77"/>
    </row>
    <row r="1272" ht="15">
      <c r="S1272" s="77"/>
    </row>
    <row r="1273" ht="15">
      <c r="S1273" s="77"/>
    </row>
    <row r="1274" ht="15">
      <c r="S1274" s="77"/>
    </row>
    <row r="1275" ht="15">
      <c r="S1275" s="77"/>
    </row>
    <row r="1276" ht="15">
      <c r="S1276" s="77"/>
    </row>
    <row r="1277" ht="15">
      <c r="S1277" s="77"/>
    </row>
    <row r="1278" ht="15">
      <c r="S1278" s="77"/>
    </row>
    <row r="1279" ht="15">
      <c r="S1279" s="77"/>
    </row>
    <row r="1280" ht="15">
      <c r="S1280" s="77"/>
    </row>
    <row r="1281" ht="15">
      <c r="S1281" s="77"/>
    </row>
    <row r="1282" ht="15">
      <c r="S1282" s="77"/>
    </row>
    <row r="1283" ht="15">
      <c r="S1283" s="77"/>
    </row>
    <row r="1284" ht="15">
      <c r="S1284" s="77"/>
    </row>
    <row r="1285" ht="15">
      <c r="S1285" s="77"/>
    </row>
    <row r="1286" ht="15">
      <c r="S1286" s="77"/>
    </row>
    <row r="1287" ht="15">
      <c r="S1287" s="77"/>
    </row>
    <row r="1288" ht="15">
      <c r="S1288" s="77"/>
    </row>
    <row r="1289" ht="15">
      <c r="S1289" s="77"/>
    </row>
    <row r="1290" ht="15">
      <c r="S1290" s="77"/>
    </row>
    <row r="1291" ht="15">
      <c r="S1291" s="77"/>
    </row>
    <row r="1292" ht="15">
      <c r="S1292" s="77"/>
    </row>
    <row r="1293" ht="15">
      <c r="S1293" s="77"/>
    </row>
    <row r="1294" ht="15">
      <c r="S1294" s="77"/>
    </row>
    <row r="1295" ht="15">
      <c r="S1295" s="77"/>
    </row>
    <row r="1296" ht="15">
      <c r="S1296" s="77"/>
    </row>
    <row r="1297" ht="15">
      <c r="S1297" s="77"/>
    </row>
    <row r="1298" ht="15">
      <c r="S1298" s="77"/>
    </row>
    <row r="1299" ht="15">
      <c r="S1299" s="77"/>
    </row>
    <row r="1300" ht="15">
      <c r="S1300" s="77"/>
    </row>
    <row r="1301" ht="15">
      <c r="S1301" s="77"/>
    </row>
    <row r="1302" ht="15">
      <c r="S1302" s="77"/>
    </row>
    <row r="1303" ht="15">
      <c r="S1303" s="77"/>
    </row>
    <row r="1304" ht="15">
      <c r="S1304" s="77"/>
    </row>
    <row r="1305" ht="15">
      <c r="S1305" s="77"/>
    </row>
    <row r="1306" ht="15">
      <c r="S1306" s="77"/>
    </row>
    <row r="1307" ht="15">
      <c r="S1307" s="77"/>
    </row>
    <row r="1308" ht="15">
      <c r="S1308" s="77"/>
    </row>
    <row r="1309" ht="15">
      <c r="S1309" s="77"/>
    </row>
    <row r="1310" ht="15">
      <c r="S1310" s="77"/>
    </row>
    <row r="1311" ht="15">
      <c r="S1311" s="77"/>
    </row>
    <row r="1312" ht="15">
      <c r="S1312" s="77"/>
    </row>
    <row r="1313" ht="15">
      <c r="S1313" s="77"/>
    </row>
    <row r="1314" ht="15">
      <c r="S1314" s="77"/>
    </row>
    <row r="1315" ht="15">
      <c r="S1315" s="77"/>
    </row>
    <row r="1316" ht="15">
      <c r="S1316" s="77"/>
    </row>
    <row r="1317" ht="15">
      <c r="S1317" s="77"/>
    </row>
    <row r="1318" ht="15">
      <c r="S1318" s="77"/>
    </row>
    <row r="1319" ht="15">
      <c r="S1319" s="77"/>
    </row>
    <row r="1320" ht="15">
      <c r="S1320" s="77"/>
    </row>
    <row r="1321" ht="15">
      <c r="S1321" s="77"/>
    </row>
    <row r="1322" ht="15">
      <c r="S1322" s="77"/>
    </row>
    <row r="1323" ht="15">
      <c r="S1323" s="77"/>
    </row>
    <row r="1324" ht="15">
      <c r="S1324" s="77"/>
    </row>
    <row r="1325" ht="15">
      <c r="S1325" s="77"/>
    </row>
    <row r="1326" ht="15">
      <c r="S1326" s="77"/>
    </row>
    <row r="1327" ht="15">
      <c r="S1327" s="77"/>
    </row>
    <row r="1328" ht="15">
      <c r="S1328" s="77"/>
    </row>
    <row r="1329" ht="15">
      <c r="S1329" s="77"/>
    </row>
    <row r="1330" ht="15">
      <c r="S1330" s="77"/>
    </row>
    <row r="1331" ht="15">
      <c r="S1331" s="77"/>
    </row>
    <row r="1332" ht="15">
      <c r="S1332" s="77"/>
    </row>
    <row r="1333" ht="15">
      <c r="S1333" s="77"/>
    </row>
    <row r="1334" ht="15">
      <c r="S1334" s="77"/>
    </row>
    <row r="1335" ht="15">
      <c r="S1335" s="77"/>
    </row>
    <row r="1336" ht="15">
      <c r="S1336" s="77"/>
    </row>
    <row r="1337" ht="15">
      <c r="S1337" s="77"/>
    </row>
    <row r="1338" ht="15">
      <c r="S1338" s="77"/>
    </row>
    <row r="1339" ht="15">
      <c r="S1339" s="77"/>
    </row>
    <row r="1340" ht="15">
      <c r="S1340" s="77"/>
    </row>
    <row r="1341" ht="15">
      <c r="S1341" s="77"/>
    </row>
    <row r="1342" ht="15">
      <c r="S1342" s="77"/>
    </row>
    <row r="1343" ht="15">
      <c r="S1343" s="77"/>
    </row>
    <row r="1344" ht="15">
      <c r="S1344" s="77"/>
    </row>
    <row r="1345" ht="15">
      <c r="S1345" s="77"/>
    </row>
    <row r="1346" ht="15">
      <c r="S1346" s="77"/>
    </row>
    <row r="1347" ht="15">
      <c r="S1347" s="77"/>
    </row>
    <row r="1348" ht="15">
      <c r="S1348" s="77"/>
    </row>
    <row r="1349" ht="15">
      <c r="S1349" s="77"/>
    </row>
    <row r="1350" ht="15">
      <c r="S1350" s="77"/>
    </row>
    <row r="1351" ht="15">
      <c r="S1351" s="77"/>
    </row>
    <row r="1352" ht="15">
      <c r="S1352" s="77"/>
    </row>
    <row r="1353" ht="15">
      <c r="S1353" s="77"/>
    </row>
    <row r="1354" ht="15">
      <c r="S1354" s="77"/>
    </row>
    <row r="1355" ht="15">
      <c r="S1355" s="77"/>
    </row>
    <row r="1356" ht="15">
      <c r="S1356" s="77"/>
    </row>
    <row r="1357" ht="15">
      <c r="S1357" s="77"/>
    </row>
    <row r="1358" ht="15">
      <c r="S1358" s="77"/>
    </row>
    <row r="1359" ht="15">
      <c r="S1359" s="77"/>
    </row>
    <row r="1360" ht="15">
      <c r="S1360" s="77"/>
    </row>
    <row r="1361" ht="15">
      <c r="S1361" s="77"/>
    </row>
    <row r="1362" ht="15">
      <c r="S1362" s="77"/>
    </row>
    <row r="1363" ht="15">
      <c r="S1363" s="77"/>
    </row>
    <row r="1364" ht="15">
      <c r="S1364" s="77"/>
    </row>
    <row r="1365" ht="15">
      <c r="S1365" s="77"/>
    </row>
    <row r="1366" ht="15">
      <c r="S1366" s="77"/>
    </row>
    <row r="1367" ht="15">
      <c r="S1367" s="77"/>
    </row>
    <row r="1368" ht="15">
      <c r="S1368" s="77"/>
    </row>
    <row r="1369" ht="15">
      <c r="S1369" s="77"/>
    </row>
    <row r="1370" ht="15">
      <c r="S1370" s="77"/>
    </row>
    <row r="1371" ht="15">
      <c r="S1371" s="77"/>
    </row>
    <row r="1372" ht="15">
      <c r="S1372" s="77"/>
    </row>
    <row r="1373" ht="15">
      <c r="S1373" s="77"/>
    </row>
    <row r="1374" ht="15">
      <c r="S1374" s="77"/>
    </row>
    <row r="1375" ht="15">
      <c r="S1375" s="77"/>
    </row>
    <row r="1376" ht="15">
      <c r="S1376" s="77"/>
    </row>
    <row r="1377" ht="15">
      <c r="S1377" s="77"/>
    </row>
    <row r="1378" ht="15">
      <c r="S1378" s="77"/>
    </row>
    <row r="1379" ht="15">
      <c r="S1379" s="77"/>
    </row>
    <row r="1380" ht="15">
      <c r="S1380" s="77"/>
    </row>
    <row r="1381" ht="15">
      <c r="S1381" s="77"/>
    </row>
    <row r="1382" ht="15">
      <c r="S1382" s="77"/>
    </row>
    <row r="1383" ht="15">
      <c r="S1383" s="77"/>
    </row>
    <row r="1384" ht="15">
      <c r="S1384" s="77"/>
    </row>
    <row r="1385" ht="15">
      <c r="S1385" s="77"/>
    </row>
    <row r="1386" ht="15">
      <c r="S1386" s="77"/>
    </row>
    <row r="1387" ht="15">
      <c r="S1387" s="77"/>
    </row>
    <row r="1388" ht="15">
      <c r="S1388" s="77"/>
    </row>
    <row r="1389" ht="15">
      <c r="S1389" s="77"/>
    </row>
    <row r="1390" ht="15">
      <c r="S1390" s="77"/>
    </row>
    <row r="1391" ht="15">
      <c r="S1391" s="77"/>
    </row>
    <row r="1392" ht="15">
      <c r="S1392" s="77"/>
    </row>
    <row r="1393" ht="15">
      <c r="S1393" s="77"/>
    </row>
    <row r="1394" ht="15">
      <c r="S1394" s="77"/>
    </row>
    <row r="1395" ht="15">
      <c r="S1395" s="77"/>
    </row>
    <row r="1396" ht="15">
      <c r="S1396" s="77"/>
    </row>
    <row r="1397" ht="15">
      <c r="S1397" s="77"/>
    </row>
    <row r="1398" ht="15">
      <c r="S1398" s="77"/>
    </row>
    <row r="1399" ht="15">
      <c r="S1399" s="77"/>
    </row>
    <row r="1400" ht="15">
      <c r="S1400" s="77"/>
    </row>
    <row r="1401" ht="15">
      <c r="S1401" s="77"/>
    </row>
    <row r="1402" ht="15">
      <c r="S1402" s="77"/>
    </row>
    <row r="1403" ht="15">
      <c r="S1403" s="77"/>
    </row>
    <row r="1404" ht="15">
      <c r="S1404" s="77"/>
    </row>
    <row r="1405" ht="15">
      <c r="S1405" s="77"/>
    </row>
    <row r="1406" ht="15">
      <c r="S1406" s="77"/>
    </row>
    <row r="1407" ht="15">
      <c r="S1407" s="77"/>
    </row>
    <row r="1408" ht="15">
      <c r="S1408" s="77"/>
    </row>
    <row r="1409" ht="15">
      <c r="S1409" s="77"/>
    </row>
    <row r="1410" ht="15">
      <c r="S1410" s="77"/>
    </row>
    <row r="1411" ht="15">
      <c r="S1411" s="77"/>
    </row>
    <row r="1412" ht="15">
      <c r="S1412" s="77"/>
    </row>
    <row r="1413" ht="15">
      <c r="S1413" s="77"/>
    </row>
    <row r="1414" ht="15">
      <c r="S1414" s="77"/>
    </row>
    <row r="1415" ht="15">
      <c r="S1415" s="77"/>
    </row>
    <row r="1416" ht="15">
      <c r="S1416" s="77"/>
    </row>
    <row r="1417" ht="15">
      <c r="S1417" s="77"/>
    </row>
    <row r="1418" ht="15">
      <c r="S1418" s="77"/>
    </row>
    <row r="1419" ht="15">
      <c r="S1419" s="77"/>
    </row>
    <row r="1420" ht="15">
      <c r="S1420" s="77"/>
    </row>
    <row r="1421" ht="15">
      <c r="S1421" s="77"/>
    </row>
    <row r="1422" ht="15">
      <c r="S1422" s="77"/>
    </row>
    <row r="1423" ht="15">
      <c r="S1423" s="77"/>
    </row>
    <row r="1424" ht="15">
      <c r="S1424" s="77"/>
    </row>
    <row r="1425" ht="15">
      <c r="S1425" s="77"/>
    </row>
    <row r="1426" ht="15">
      <c r="S1426" s="77"/>
    </row>
    <row r="1427" ht="15">
      <c r="S1427" s="77"/>
    </row>
    <row r="1428" ht="15">
      <c r="S1428" s="77"/>
    </row>
    <row r="1429" ht="15">
      <c r="S1429" s="77"/>
    </row>
    <row r="1430" ht="15">
      <c r="S1430" s="77"/>
    </row>
    <row r="1431" ht="15">
      <c r="S1431" s="77"/>
    </row>
    <row r="1432" ht="15">
      <c r="S1432" s="77"/>
    </row>
    <row r="1433" ht="15">
      <c r="S1433" s="77"/>
    </row>
    <row r="1434" ht="15">
      <c r="S1434" s="77"/>
    </row>
    <row r="1435" ht="15">
      <c r="S1435" s="77"/>
    </row>
    <row r="1436" ht="15">
      <c r="S1436" s="77"/>
    </row>
    <row r="1437" ht="15">
      <c r="S1437" s="77"/>
    </row>
    <row r="1438" ht="15">
      <c r="S1438" s="77"/>
    </row>
    <row r="1439" ht="15">
      <c r="S1439" s="77"/>
    </row>
    <row r="1440" ht="15">
      <c r="S1440" s="77"/>
    </row>
    <row r="1441" ht="15">
      <c r="S1441" s="77"/>
    </row>
    <row r="1442" ht="15">
      <c r="S1442" s="77"/>
    </row>
    <row r="1443" ht="15">
      <c r="S1443" s="77"/>
    </row>
    <row r="1444" ht="15">
      <c r="S1444" s="77"/>
    </row>
    <row r="1445" ht="15">
      <c r="S1445" s="77"/>
    </row>
    <row r="1446" ht="15">
      <c r="S1446" s="77"/>
    </row>
    <row r="1447" ht="15">
      <c r="S1447" s="77"/>
    </row>
    <row r="1448" ht="15">
      <c r="S1448" s="77"/>
    </row>
    <row r="1449" ht="15">
      <c r="S1449" s="77"/>
    </row>
    <row r="1450" ht="15">
      <c r="S1450" s="77"/>
    </row>
    <row r="1451" ht="15">
      <c r="S1451" s="77"/>
    </row>
    <row r="1452" ht="15">
      <c r="S1452" s="77"/>
    </row>
    <row r="1453" ht="15">
      <c r="S1453" s="77"/>
    </row>
    <row r="1454" ht="15">
      <c r="S1454" s="77"/>
    </row>
    <row r="1455" ht="15">
      <c r="S1455" s="77"/>
    </row>
    <row r="1456" ht="15">
      <c r="S1456" s="77"/>
    </row>
    <row r="1457" ht="15">
      <c r="S1457" s="77"/>
    </row>
    <row r="1458" ht="15">
      <c r="S1458" s="77"/>
    </row>
    <row r="1459" ht="15">
      <c r="S1459" s="77"/>
    </row>
    <row r="1460" ht="15">
      <c r="S1460" s="77"/>
    </row>
    <row r="1461" ht="15">
      <c r="S1461" s="77"/>
    </row>
    <row r="1462" ht="15">
      <c r="S1462" s="77"/>
    </row>
    <row r="1463" ht="15">
      <c r="S1463" s="77"/>
    </row>
    <row r="1464" ht="15">
      <c r="S1464" s="77"/>
    </row>
    <row r="1465" ht="15">
      <c r="S1465" s="77"/>
    </row>
    <row r="1466" ht="15">
      <c r="S1466" s="77"/>
    </row>
    <row r="1467" ht="15">
      <c r="S1467" s="77"/>
    </row>
    <row r="1468" ht="15">
      <c r="S1468" s="77"/>
    </row>
    <row r="1469" ht="15">
      <c r="S1469" s="77"/>
    </row>
    <row r="1470" ht="15">
      <c r="S1470" s="77"/>
    </row>
    <row r="1471" ht="15">
      <c r="S1471" s="77"/>
    </row>
    <row r="1472" ht="15">
      <c r="S1472" s="77"/>
    </row>
    <row r="1473" ht="15">
      <c r="S1473" s="77"/>
    </row>
    <row r="1474" ht="15">
      <c r="S1474" s="77"/>
    </row>
    <row r="1475" ht="15">
      <c r="S1475" s="77"/>
    </row>
    <row r="1476" ht="15">
      <c r="S1476" s="77"/>
    </row>
    <row r="1477" ht="15">
      <c r="S1477" s="77"/>
    </row>
    <row r="1478" ht="15">
      <c r="S1478" s="77"/>
    </row>
    <row r="1479" ht="15">
      <c r="S1479" s="77"/>
    </row>
    <row r="1480" ht="15">
      <c r="S1480" s="77"/>
    </row>
    <row r="1481" ht="15">
      <c r="S1481" s="77"/>
    </row>
    <row r="1482" ht="15">
      <c r="S1482" s="77"/>
    </row>
    <row r="1483" ht="15">
      <c r="S1483" s="77"/>
    </row>
    <row r="1484" ht="15">
      <c r="S1484" s="77"/>
    </row>
    <row r="1485" ht="15">
      <c r="S1485" s="77"/>
    </row>
    <row r="1486" ht="15">
      <c r="S1486" s="77"/>
    </row>
    <row r="1487" ht="15">
      <c r="S1487" s="77"/>
    </row>
    <row r="1488" ht="15">
      <c r="S1488" s="77"/>
    </row>
    <row r="1489" ht="15">
      <c r="S1489" s="77"/>
    </row>
    <row r="1490" ht="15">
      <c r="S1490" s="77"/>
    </row>
    <row r="1491" ht="15">
      <c r="S1491" s="77"/>
    </row>
    <row r="1492" ht="15">
      <c r="S1492" s="77"/>
    </row>
    <row r="1493" ht="15">
      <c r="S1493" s="77"/>
    </row>
    <row r="1494" ht="15">
      <c r="S1494" s="77"/>
    </row>
    <row r="1495" ht="15">
      <c r="S1495" s="77"/>
    </row>
    <row r="1496" ht="15">
      <c r="S1496" s="77"/>
    </row>
    <row r="1497" ht="15">
      <c r="S1497" s="77"/>
    </row>
    <row r="1498" ht="15">
      <c r="S1498" s="77"/>
    </row>
    <row r="1499" ht="15">
      <c r="S1499" s="77"/>
    </row>
    <row r="1500" ht="15">
      <c r="S1500" s="77"/>
    </row>
    <row r="1501" ht="15">
      <c r="S1501" s="77"/>
    </row>
    <row r="1502" ht="15">
      <c r="S1502" s="77"/>
    </row>
    <row r="1503" ht="15">
      <c r="S1503" s="77"/>
    </row>
    <row r="1504" ht="15">
      <c r="S1504" s="77"/>
    </row>
    <row r="1505" ht="15">
      <c r="S1505" s="77"/>
    </row>
    <row r="1506" ht="15">
      <c r="S1506" s="77"/>
    </row>
    <row r="1507" ht="15">
      <c r="S1507" s="77"/>
    </row>
    <row r="1508" ht="15">
      <c r="S1508" s="77"/>
    </row>
    <row r="1509" ht="15">
      <c r="S1509" s="77"/>
    </row>
    <row r="1510" ht="15">
      <c r="S1510" s="77"/>
    </row>
    <row r="1511" ht="15">
      <c r="S1511" s="77"/>
    </row>
    <row r="1512" ht="15">
      <c r="S1512" s="77"/>
    </row>
    <row r="1513" ht="15">
      <c r="S1513" s="77"/>
    </row>
    <row r="1514" ht="15">
      <c r="S1514" s="77"/>
    </row>
    <row r="1515" ht="15">
      <c r="S1515" s="77"/>
    </row>
    <row r="1516" ht="15">
      <c r="S1516" s="77"/>
    </row>
    <row r="1517" ht="15">
      <c r="S1517" s="77"/>
    </row>
    <row r="1518" ht="15">
      <c r="S1518" s="77"/>
    </row>
    <row r="1519" ht="15">
      <c r="S1519" s="77"/>
    </row>
    <row r="1520" ht="15">
      <c r="S1520" s="77"/>
    </row>
    <row r="1521" ht="15">
      <c r="S1521" s="77"/>
    </row>
    <row r="1522" ht="15">
      <c r="S1522" s="77"/>
    </row>
    <row r="1523" ht="15">
      <c r="S1523" s="77"/>
    </row>
    <row r="1524" ht="15">
      <c r="S1524" s="77"/>
    </row>
    <row r="1525" ht="15">
      <c r="S1525" s="77"/>
    </row>
    <row r="1526" ht="15">
      <c r="S1526" s="77"/>
    </row>
    <row r="1527" ht="15">
      <c r="S1527" s="77"/>
    </row>
    <row r="1528" ht="15">
      <c r="S1528" s="77"/>
    </row>
    <row r="1529" ht="15">
      <c r="S1529" s="77"/>
    </row>
    <row r="1530" ht="15">
      <c r="S1530" s="77"/>
    </row>
    <row r="1531" ht="15">
      <c r="S1531" s="77"/>
    </row>
    <row r="1532" ht="15">
      <c r="S1532" s="77"/>
    </row>
    <row r="1533" ht="15">
      <c r="S1533" s="77"/>
    </row>
    <row r="1534" ht="15">
      <c r="S1534" s="77"/>
    </row>
    <row r="1535" ht="15">
      <c r="S1535" s="77"/>
    </row>
    <row r="1536" ht="15">
      <c r="S1536" s="77"/>
    </row>
    <row r="1537" ht="15">
      <c r="S1537" s="77"/>
    </row>
    <row r="1538" ht="15">
      <c r="S1538" s="77"/>
    </row>
    <row r="1539" ht="15">
      <c r="S1539" s="77"/>
    </row>
    <row r="1540" ht="15">
      <c r="S1540" s="77"/>
    </row>
    <row r="1541" ht="15">
      <c r="S1541" s="77"/>
    </row>
    <row r="1542" ht="15">
      <c r="S1542" s="77"/>
    </row>
    <row r="1543" ht="15">
      <c r="S1543" s="77"/>
    </row>
    <row r="1544" ht="15">
      <c r="S1544" s="77"/>
    </row>
    <row r="1545" ht="15">
      <c r="S1545" s="77"/>
    </row>
    <row r="1546" ht="15">
      <c r="S1546" s="77"/>
    </row>
    <row r="1547" ht="15">
      <c r="S1547" s="77"/>
    </row>
    <row r="1548" ht="15">
      <c r="S1548" s="77"/>
    </row>
    <row r="1549" ht="15">
      <c r="S1549" s="77"/>
    </row>
    <row r="1550" ht="15">
      <c r="S1550" s="77"/>
    </row>
    <row r="1551" ht="15">
      <c r="S1551" s="77"/>
    </row>
    <row r="1552" ht="15">
      <c r="S1552" s="77"/>
    </row>
    <row r="1553" ht="15">
      <c r="S1553" s="77"/>
    </row>
    <row r="1554" ht="15">
      <c r="S1554" s="77"/>
    </row>
    <row r="1555" ht="15">
      <c r="S1555" s="77"/>
    </row>
    <row r="1556" ht="15">
      <c r="S1556" s="77"/>
    </row>
    <row r="1557" ht="15">
      <c r="S1557" s="77"/>
    </row>
    <row r="1558" ht="15">
      <c r="S1558" s="77"/>
    </row>
    <row r="1559" ht="15">
      <c r="S1559" s="77"/>
    </row>
    <row r="1560" ht="15">
      <c r="S1560" s="77"/>
    </row>
    <row r="1561" ht="15">
      <c r="S1561" s="77"/>
    </row>
    <row r="1562" ht="15">
      <c r="S1562" s="77"/>
    </row>
    <row r="1563" ht="15">
      <c r="S1563" s="77"/>
    </row>
    <row r="1564" ht="15">
      <c r="S1564" s="77"/>
    </row>
    <row r="1565" ht="15">
      <c r="S1565" s="77"/>
    </row>
    <row r="1566" ht="15">
      <c r="S1566" s="77"/>
    </row>
    <row r="1567" ht="15">
      <c r="S1567" s="77"/>
    </row>
    <row r="1568" ht="15">
      <c r="S1568" s="77"/>
    </row>
    <row r="1569" ht="15">
      <c r="S1569" s="77"/>
    </row>
    <row r="1570" ht="15">
      <c r="S1570" s="77"/>
    </row>
    <row r="1571" ht="15">
      <c r="S1571" s="77"/>
    </row>
    <row r="1572" ht="15">
      <c r="S1572" s="77"/>
    </row>
    <row r="1573" ht="15">
      <c r="S1573" s="77"/>
    </row>
    <row r="1574" ht="15">
      <c r="S1574" s="77"/>
    </row>
    <row r="1575" ht="15">
      <c r="S1575" s="77"/>
    </row>
    <row r="1576" ht="15">
      <c r="S1576" s="77"/>
    </row>
    <row r="1577" ht="15">
      <c r="S1577" s="77"/>
    </row>
    <row r="1578" ht="15">
      <c r="S1578" s="77"/>
    </row>
    <row r="1579" ht="15">
      <c r="S1579" s="77"/>
    </row>
    <row r="1580" ht="15">
      <c r="S1580" s="77"/>
    </row>
    <row r="1581" ht="15">
      <c r="S1581" s="77"/>
    </row>
    <row r="1582" ht="15">
      <c r="S1582" s="77"/>
    </row>
    <row r="1583" ht="15">
      <c r="S1583" s="77"/>
    </row>
    <row r="1584" ht="15">
      <c r="S1584" s="77"/>
    </row>
    <row r="1585" ht="15">
      <c r="S1585" s="77"/>
    </row>
    <row r="1586" ht="15">
      <c r="S1586" s="77"/>
    </row>
    <row r="1587" ht="15">
      <c r="S1587" s="77"/>
    </row>
    <row r="1588" ht="15">
      <c r="S1588" s="77"/>
    </row>
    <row r="1589" ht="15">
      <c r="S1589" s="77"/>
    </row>
    <row r="1590" ht="15">
      <c r="S1590" s="77"/>
    </row>
    <row r="1591" ht="15">
      <c r="S1591" s="77"/>
    </row>
    <row r="1592" ht="15">
      <c r="S1592" s="77"/>
    </row>
    <row r="1593" ht="15">
      <c r="S1593" s="77"/>
    </row>
    <row r="1594" ht="15">
      <c r="S1594" s="77"/>
    </row>
  </sheetData>
  <mergeCells count="17">
    <mergeCell ref="C24:S24"/>
    <mergeCell ref="C63:S63"/>
    <mergeCell ref="S68:S69"/>
    <mergeCell ref="B26:B27"/>
    <mergeCell ref="O26:O27"/>
    <mergeCell ref="G26:G27"/>
    <mergeCell ref="J26:J27"/>
    <mergeCell ref="L26:L27"/>
    <mergeCell ref="S33:S34"/>
    <mergeCell ref="S26:S27"/>
    <mergeCell ref="C28:Q28"/>
    <mergeCell ref="Q26:Q27"/>
    <mergeCell ref="C26:C27"/>
    <mergeCell ref="E26:E27"/>
    <mergeCell ref="H26:H27"/>
    <mergeCell ref="F26:F27"/>
    <mergeCell ref="N26:N27"/>
  </mergeCells>
  <printOptions/>
  <pageMargins left="0.75" right="0.5" top="1" bottom="0.25" header="0.5" footer="0.5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SheetLayoutView="100" workbookViewId="0" topLeftCell="A1">
      <selection activeCell="G34" sqref="G34"/>
    </sheetView>
  </sheetViews>
  <sheetFormatPr defaultColWidth="9.140625" defaultRowHeight="12.75"/>
  <cols>
    <col min="1" max="1" width="5.00390625" style="371" customWidth="1"/>
    <col min="2" max="2" width="13.7109375" style="371" customWidth="1"/>
    <col min="3" max="3" width="6.7109375" style="371" bestFit="1" customWidth="1"/>
    <col min="4" max="4" width="0.85546875" style="371" customWidth="1"/>
    <col min="5" max="5" width="9.140625" style="371" customWidth="1"/>
    <col min="6" max="6" width="8.421875" style="371" customWidth="1"/>
    <col min="7" max="7" width="10.57421875" style="371" customWidth="1"/>
    <col min="8" max="8" width="11.140625" style="371" customWidth="1"/>
    <col min="9" max="9" width="0.85546875" style="371" customWidth="1"/>
    <col min="10" max="10" width="10.7109375" style="371" customWidth="1"/>
    <col min="11" max="11" width="0.85546875" style="371" customWidth="1"/>
    <col min="12" max="12" width="20.421875" style="371" bestFit="1" customWidth="1"/>
    <col min="13" max="13" width="0.85546875" style="371" customWidth="1"/>
    <col min="14" max="14" width="11.28125" style="371" customWidth="1"/>
    <col min="15" max="16" width="9.140625" style="371" customWidth="1"/>
    <col min="17" max="17" width="9.57421875" style="371" bestFit="1" customWidth="1"/>
    <col min="18" max="16384" width="9.140625" style="371" customWidth="1"/>
  </cols>
  <sheetData>
    <row r="1" spans="1:14" ht="15">
      <c r="A1" s="72" t="s">
        <v>300</v>
      </c>
      <c r="B1" s="99" t="s">
        <v>521</v>
      </c>
      <c r="L1" s="13">
        <v>2006</v>
      </c>
      <c r="M1" s="77"/>
      <c r="N1" s="50">
        <v>2005</v>
      </c>
    </row>
    <row r="2" spans="1:14" ht="15">
      <c r="A2" s="66"/>
      <c r="B2" s="66"/>
      <c r="L2" s="15"/>
      <c r="M2" s="15" t="s">
        <v>832</v>
      </c>
      <c r="N2" s="352"/>
    </row>
    <row r="3" spans="1:14" ht="15">
      <c r="A3" s="5"/>
      <c r="B3" s="5"/>
      <c r="L3" s="15"/>
      <c r="M3" s="77"/>
      <c r="N3" s="352"/>
    </row>
    <row r="4" spans="1:14" ht="15">
      <c r="A4" s="66"/>
      <c r="B4" s="66" t="s">
        <v>979</v>
      </c>
      <c r="L4" s="142">
        <f>N7</f>
        <v>6194503</v>
      </c>
      <c r="M4" s="77"/>
      <c r="N4" s="146">
        <v>6637328</v>
      </c>
    </row>
    <row r="5" spans="1:14" ht="15">
      <c r="A5" s="66"/>
      <c r="B5" s="66" t="s">
        <v>50</v>
      </c>
      <c r="L5" s="366">
        <v>0</v>
      </c>
      <c r="M5" s="77"/>
      <c r="N5" s="146">
        <v>-442825</v>
      </c>
    </row>
    <row r="6" spans="1:14" ht="15">
      <c r="A6" s="66"/>
      <c r="B6" s="66" t="s">
        <v>621</v>
      </c>
      <c r="L6" s="142">
        <f>11165256+1182+1413100-27027</f>
        <v>12552511</v>
      </c>
      <c r="M6" s="77"/>
      <c r="N6" s="146">
        <v>0</v>
      </c>
    </row>
    <row r="7" spans="12:14" ht="15.75" thickBot="1">
      <c r="L7" s="144">
        <f>SUM(L4:L6)</f>
        <v>18747014</v>
      </c>
      <c r="M7" s="77"/>
      <c r="N7" s="147">
        <f>SUM(N4:N5)</f>
        <v>6194503</v>
      </c>
    </row>
    <row r="8" ht="15.75" thickTop="1"/>
    <row r="9" ht="15">
      <c r="B9" s="66" t="s">
        <v>258</v>
      </c>
    </row>
    <row r="10" ht="15">
      <c r="B10" s="377" t="s">
        <v>259</v>
      </c>
    </row>
    <row r="11" ht="15">
      <c r="B11" s="376" t="s">
        <v>260</v>
      </c>
    </row>
    <row r="12" ht="15">
      <c r="B12" s="376" t="s">
        <v>261</v>
      </c>
    </row>
    <row r="13" ht="15">
      <c r="B13" s="371" t="s">
        <v>262</v>
      </c>
    </row>
    <row r="14" ht="15">
      <c r="B14" s="371" t="s">
        <v>263</v>
      </c>
    </row>
    <row r="16" spans="1:14" ht="15">
      <c r="A16" s="72" t="s">
        <v>299</v>
      </c>
      <c r="B16" s="6" t="s">
        <v>382</v>
      </c>
      <c r="L16" s="13">
        <v>2006</v>
      </c>
      <c r="M16" s="77"/>
      <c r="N16" s="50">
        <v>2005</v>
      </c>
    </row>
    <row r="17" spans="1:14" ht="15">
      <c r="A17" s="72"/>
      <c r="B17" s="6"/>
      <c r="L17" s="15"/>
      <c r="M17" s="15" t="s">
        <v>832</v>
      </c>
      <c r="N17" s="352"/>
    </row>
    <row r="18" spans="1:14" ht="15">
      <c r="A18" s="66"/>
      <c r="B18" s="77"/>
      <c r="L18" s="66"/>
      <c r="M18" s="77"/>
      <c r="N18" s="352"/>
    </row>
    <row r="19" spans="1:14" ht="15">
      <c r="A19" s="66"/>
      <c r="B19" s="66" t="s">
        <v>506</v>
      </c>
      <c r="L19" s="143">
        <v>25708</v>
      </c>
      <c r="M19" s="77"/>
      <c r="N19" s="366">
        <v>0</v>
      </c>
    </row>
    <row r="20" spans="1:14" ht="15">
      <c r="A20" s="66"/>
      <c r="B20" s="66" t="s">
        <v>505</v>
      </c>
      <c r="L20" s="142">
        <f>145094-37</f>
        <v>145057</v>
      </c>
      <c r="M20" s="77"/>
      <c r="N20" s="235">
        <v>141103</v>
      </c>
    </row>
    <row r="21" spans="1:14" ht="15">
      <c r="A21" s="66"/>
      <c r="B21" s="66" t="s">
        <v>934</v>
      </c>
      <c r="L21" s="143">
        <v>22270</v>
      </c>
      <c r="M21" s="77"/>
      <c r="N21" s="235">
        <v>28138</v>
      </c>
    </row>
    <row r="22" spans="1:14" ht="15">
      <c r="A22" s="66"/>
      <c r="B22" s="66" t="s">
        <v>102</v>
      </c>
      <c r="L22" s="143">
        <v>115744</v>
      </c>
      <c r="M22" s="77"/>
      <c r="N22" s="235">
        <v>65689</v>
      </c>
    </row>
    <row r="23" spans="1:14" ht="15">
      <c r="A23" s="66"/>
      <c r="B23" s="66" t="s">
        <v>324</v>
      </c>
      <c r="L23" s="143">
        <v>6674</v>
      </c>
      <c r="M23" s="77"/>
      <c r="N23" s="235">
        <v>13978</v>
      </c>
    </row>
    <row r="24" spans="1:14" ht="15">
      <c r="A24" s="66"/>
      <c r="B24" s="66" t="s">
        <v>683</v>
      </c>
      <c r="L24" s="143">
        <v>78096</v>
      </c>
      <c r="M24" s="77"/>
      <c r="N24" s="235">
        <v>264933</v>
      </c>
    </row>
    <row r="25" spans="12:17" ht="15.75" thickBot="1">
      <c r="L25" s="144">
        <f>SUM(L19:L24)</f>
        <v>393549</v>
      </c>
      <c r="M25" s="77"/>
      <c r="N25" s="236">
        <f>SUM(N20:N24)</f>
        <v>513841</v>
      </c>
      <c r="Q25" s="372"/>
    </row>
    <row r="26" ht="15.75" thickTop="1"/>
    <row r="27" spans="1:14" ht="15">
      <c r="A27" s="74" t="s">
        <v>648</v>
      </c>
      <c r="B27" s="99" t="s">
        <v>44</v>
      </c>
      <c r="C27" s="66"/>
      <c r="D27" s="66"/>
      <c r="E27" s="123"/>
      <c r="F27" s="77"/>
      <c r="G27" s="77"/>
      <c r="H27" s="66"/>
      <c r="I27" s="66"/>
      <c r="J27" s="66"/>
      <c r="K27" s="66"/>
      <c r="L27" s="66"/>
      <c r="M27" s="66"/>
      <c r="N27" s="77"/>
    </row>
    <row r="28" spans="1:14" ht="15">
      <c r="A28" s="66"/>
      <c r="B28" s="66"/>
      <c r="C28" s="66"/>
      <c r="D28" s="66"/>
      <c r="E28" s="123"/>
      <c r="F28" s="77"/>
      <c r="G28" s="77"/>
      <c r="H28" s="66"/>
      <c r="I28" s="66"/>
      <c r="J28" s="66"/>
      <c r="K28" s="66"/>
      <c r="L28" s="66"/>
      <c r="M28" s="66"/>
      <c r="N28" s="77"/>
    </row>
    <row r="29" spans="1:14" ht="15">
      <c r="A29" s="66"/>
      <c r="B29" s="165"/>
      <c r="C29" s="512" t="s">
        <v>212</v>
      </c>
      <c r="D29" s="165"/>
      <c r="E29" s="513" t="s">
        <v>295</v>
      </c>
      <c r="F29" s="512" t="s">
        <v>622</v>
      </c>
      <c r="G29" s="512" t="s">
        <v>213</v>
      </c>
      <c r="H29" s="474" t="s">
        <v>296</v>
      </c>
      <c r="I29" s="196"/>
      <c r="J29" s="512" t="s">
        <v>623</v>
      </c>
      <c r="K29" s="196"/>
      <c r="L29" s="512" t="s">
        <v>624</v>
      </c>
      <c r="M29" s="196"/>
      <c r="N29" s="512" t="s">
        <v>561</v>
      </c>
    </row>
    <row r="30" spans="1:14" ht="15">
      <c r="A30" s="66"/>
      <c r="B30" s="165"/>
      <c r="C30" s="512"/>
      <c r="D30" s="165"/>
      <c r="E30" s="513"/>
      <c r="F30" s="512"/>
      <c r="G30" s="512"/>
      <c r="H30" s="474"/>
      <c r="I30" s="196"/>
      <c r="J30" s="512"/>
      <c r="K30" s="196"/>
      <c r="L30" s="512"/>
      <c r="M30" s="196"/>
      <c r="N30" s="512"/>
    </row>
    <row r="31" spans="1:14" ht="15">
      <c r="A31" s="66"/>
      <c r="B31" s="165"/>
      <c r="C31" s="512"/>
      <c r="D31" s="165"/>
      <c r="E31" s="513"/>
      <c r="F31" s="512"/>
      <c r="G31" s="512"/>
      <c r="H31" s="474"/>
      <c r="I31" s="197"/>
      <c r="J31" s="512"/>
      <c r="K31" s="197"/>
      <c r="L31" s="512"/>
      <c r="M31" s="197"/>
      <c r="N31" s="512"/>
    </row>
    <row r="32" spans="1:14" ht="15">
      <c r="A32" s="66"/>
      <c r="B32" s="165"/>
      <c r="C32" s="518" t="s">
        <v>542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</row>
    <row r="33" spans="1:14" ht="15">
      <c r="A33" s="100"/>
      <c r="B33" s="197"/>
      <c r="C33" s="197"/>
      <c r="D33" s="197"/>
      <c r="E33" s="198"/>
      <c r="F33" s="197"/>
      <c r="G33" s="197"/>
      <c r="H33" s="197"/>
      <c r="I33" s="197"/>
      <c r="J33" s="196"/>
      <c r="K33" s="197"/>
      <c r="L33" s="197"/>
      <c r="M33" s="197"/>
      <c r="N33" s="197"/>
    </row>
    <row r="34" spans="1:14" ht="15">
      <c r="A34" s="100"/>
      <c r="B34" s="197"/>
      <c r="C34" s="197"/>
      <c r="D34" s="197"/>
      <c r="E34" s="198"/>
      <c r="F34" s="197"/>
      <c r="G34" s="197"/>
      <c r="H34" s="197"/>
      <c r="I34" s="197"/>
      <c r="J34" s="196"/>
      <c r="K34" s="197"/>
      <c r="L34" s="197"/>
      <c r="M34" s="197"/>
      <c r="N34" s="196"/>
    </row>
    <row r="35" spans="1:14" ht="15">
      <c r="A35" s="100"/>
      <c r="B35" s="199" t="s">
        <v>257</v>
      </c>
      <c r="C35" s="318">
        <v>98331</v>
      </c>
      <c r="D35" s="318"/>
      <c r="E35" s="318">
        <f>171889-7092</f>
        <v>164797</v>
      </c>
      <c r="F35" s="318">
        <f>C35+E35+E36</f>
        <v>263128</v>
      </c>
      <c r="G35" s="318">
        <v>77460</v>
      </c>
      <c r="H35" s="318">
        <f>69987+7092-7092</f>
        <v>69987</v>
      </c>
      <c r="I35" s="197"/>
      <c r="J35" s="319">
        <f>G35+H35+H36</f>
        <v>147447</v>
      </c>
      <c r="K35" s="197"/>
      <c r="L35" s="319">
        <f>F35-J35</f>
        <v>115681</v>
      </c>
      <c r="M35" s="197"/>
      <c r="N35" s="200">
        <v>33.33</v>
      </c>
    </row>
    <row r="36" spans="1:14" ht="1.5" customHeight="1" thickBot="1">
      <c r="A36" s="100"/>
      <c r="B36" s="199"/>
      <c r="C36" s="237"/>
      <c r="D36" s="318"/>
      <c r="E36" s="336"/>
      <c r="F36" s="237"/>
      <c r="G36" s="237"/>
      <c r="H36" s="336"/>
      <c r="I36" s="197"/>
      <c r="J36" s="325"/>
      <c r="K36" s="197"/>
      <c r="L36" s="325"/>
      <c r="M36" s="197"/>
      <c r="N36" s="200"/>
    </row>
    <row r="37" spans="1:14" ht="15.75" thickTop="1">
      <c r="A37" s="100"/>
      <c r="B37" s="199"/>
      <c r="C37" s="318"/>
      <c r="D37" s="318"/>
      <c r="E37" s="318"/>
      <c r="F37" s="318"/>
      <c r="G37" s="318"/>
      <c r="H37" s="197"/>
      <c r="I37" s="197"/>
      <c r="J37" s="319"/>
      <c r="K37" s="197"/>
      <c r="L37" s="319"/>
      <c r="M37" s="197"/>
      <c r="N37" s="200"/>
    </row>
    <row r="38" spans="1:14" ht="15.75" thickBot="1">
      <c r="A38" s="66"/>
      <c r="B38" s="201">
        <v>2005</v>
      </c>
      <c r="C38" s="237">
        <v>32467</v>
      </c>
      <c r="D38" s="238"/>
      <c r="E38" s="237">
        <v>65864</v>
      </c>
      <c r="F38" s="237">
        <f>+C38+E38</f>
        <v>98331</v>
      </c>
      <c r="G38" s="237">
        <v>32097</v>
      </c>
      <c r="H38" s="237">
        <v>45363</v>
      </c>
      <c r="I38" s="238"/>
      <c r="J38" s="237">
        <f>+G38+H38</f>
        <v>77460</v>
      </c>
      <c r="L38" s="237">
        <f>+F38-J38</f>
        <v>20871</v>
      </c>
      <c r="M38" s="165"/>
      <c r="N38" s="166"/>
    </row>
    <row r="39" ht="15.75" thickTop="1"/>
    <row r="40" spans="1:2" ht="15">
      <c r="A40" s="68"/>
      <c r="B40" s="99"/>
    </row>
    <row r="41" spans="1:2" ht="15">
      <c r="A41" s="68"/>
      <c r="B41" s="99"/>
    </row>
    <row r="42" spans="1:2" ht="15">
      <c r="A42" s="67"/>
      <c r="B42" s="99"/>
    </row>
    <row r="43" spans="1:2" ht="15">
      <c r="A43" s="5"/>
      <c r="B43" s="66"/>
    </row>
    <row r="44" spans="1:10" ht="15">
      <c r="A44" s="5"/>
      <c r="B44" s="66"/>
      <c r="J44" s="102"/>
    </row>
    <row r="45" spans="1:2" ht="15">
      <c r="A45" s="5"/>
      <c r="B45" s="66"/>
    </row>
    <row r="46" spans="1:2" ht="15">
      <c r="A46" s="5"/>
      <c r="B46" s="66"/>
    </row>
    <row r="47" spans="1:2" ht="15">
      <c r="A47" s="5"/>
      <c r="B47" s="66"/>
    </row>
    <row r="48" spans="1:2" ht="15">
      <c r="A48" s="5"/>
      <c r="B48" s="66"/>
    </row>
    <row r="49" spans="1:2" ht="15">
      <c r="A49" s="5"/>
      <c r="B49" s="66"/>
    </row>
    <row r="50" spans="1:2" ht="15">
      <c r="A50" s="5"/>
      <c r="B50" s="66"/>
    </row>
    <row r="51" spans="1:2" ht="15">
      <c r="A51" s="5"/>
      <c r="B51" s="66"/>
    </row>
    <row r="58" spans="1:2" ht="15">
      <c r="A58" s="67"/>
      <c r="B58" s="6"/>
    </row>
    <row r="59" spans="1:2" ht="15">
      <c r="A59" s="5"/>
      <c r="B59" s="5"/>
    </row>
    <row r="60" spans="1:10" ht="15">
      <c r="A60" s="5"/>
      <c r="B60" s="5"/>
      <c r="J60" s="40"/>
    </row>
    <row r="61" spans="1:10" ht="15">
      <c r="A61" s="5"/>
      <c r="B61" s="5"/>
      <c r="J61" s="15"/>
    </row>
    <row r="62" spans="1:10" ht="15">
      <c r="A62" s="5"/>
      <c r="B62" s="20"/>
      <c r="J62" s="40"/>
    </row>
    <row r="63" spans="1:10" ht="15">
      <c r="A63" s="5"/>
      <c r="B63" s="20"/>
      <c r="J63" s="40"/>
    </row>
    <row r="64" spans="1:10" ht="15">
      <c r="A64" s="5"/>
      <c r="B64" s="20"/>
      <c r="J64" s="40"/>
    </row>
    <row r="65" spans="1:10" ht="15">
      <c r="A65" s="5"/>
      <c r="B65" s="20"/>
      <c r="J65" s="40"/>
    </row>
    <row r="66" spans="1:2" ht="15">
      <c r="A66" s="5"/>
      <c r="B66" s="5"/>
    </row>
    <row r="67" spans="1:2" ht="15">
      <c r="A67" s="66"/>
      <c r="B67" s="66"/>
    </row>
    <row r="68" spans="1:2" ht="15">
      <c r="A68" s="66"/>
      <c r="B68" s="5"/>
    </row>
  </sheetData>
  <mergeCells count="9">
    <mergeCell ref="C32:N32"/>
    <mergeCell ref="J29:J31"/>
    <mergeCell ref="L29:L31"/>
    <mergeCell ref="N29:N31"/>
    <mergeCell ref="C29:C31"/>
    <mergeCell ref="E29:E31"/>
    <mergeCell ref="F29:F31"/>
    <mergeCell ref="G29:G31"/>
    <mergeCell ref="H29:H31"/>
  </mergeCells>
  <printOptions/>
  <pageMargins left="0.75" right="0.5" top="1" bottom="1" header="0.5" footer="0.5"/>
  <pageSetup fitToHeight="1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Q135"/>
  <sheetViews>
    <sheetView view="pageBreakPreview" zoomScaleSheetLayoutView="100" workbookViewId="0" topLeftCell="A1">
      <selection activeCell="D134" sqref="D134"/>
    </sheetView>
  </sheetViews>
  <sheetFormatPr defaultColWidth="9.140625" defaultRowHeight="12.75"/>
  <cols>
    <col min="1" max="1" width="6.421875" style="5" customWidth="1"/>
    <col min="2" max="2" width="2.421875" style="5" customWidth="1"/>
    <col min="3" max="4" width="9.140625" style="5" customWidth="1"/>
    <col min="5" max="5" width="12.421875" style="5" customWidth="1"/>
    <col min="6" max="6" width="12.57421875" style="5" customWidth="1"/>
    <col min="7" max="7" width="7.7109375" style="12" customWidth="1"/>
    <col min="8" max="8" width="13.7109375" style="5" customWidth="1"/>
    <col min="9" max="9" width="1.7109375" style="5" customWidth="1"/>
    <col min="10" max="10" width="13.7109375" style="5" customWidth="1"/>
    <col min="11" max="12" width="14.8515625" style="10" bestFit="1" customWidth="1"/>
    <col min="13" max="13" width="14.7109375" style="8" customWidth="1"/>
    <col min="14" max="14" width="9.140625" style="10" customWidth="1"/>
    <col min="15" max="16" width="13.00390625" style="10" bestFit="1" customWidth="1"/>
    <col min="17" max="17" width="20.7109375" style="10" customWidth="1"/>
    <col min="18" max="33" width="9.140625" style="10" customWidth="1"/>
    <col min="34" max="16384" width="9.140625" style="5" customWidth="1"/>
  </cols>
  <sheetData>
    <row r="1" spans="1:10" ht="15">
      <c r="A1" s="68" t="s">
        <v>301</v>
      </c>
      <c r="B1" s="99" t="s">
        <v>184</v>
      </c>
      <c r="H1" s="211">
        <v>2006</v>
      </c>
      <c r="I1" s="66"/>
      <c r="J1" s="212">
        <v>2005</v>
      </c>
    </row>
    <row r="2" spans="1:10" ht="15">
      <c r="A2" s="68"/>
      <c r="B2" s="99"/>
      <c r="H2" s="211"/>
      <c r="I2" s="15" t="s">
        <v>832</v>
      </c>
      <c r="J2" s="212"/>
    </row>
    <row r="3" spans="2:9" ht="15">
      <c r="B3" s="66" t="s">
        <v>20</v>
      </c>
      <c r="I3" s="66"/>
    </row>
    <row r="4" spans="2:10" ht="15">
      <c r="B4" s="66" t="s">
        <v>534</v>
      </c>
      <c r="G4" s="102" t="s">
        <v>302</v>
      </c>
      <c r="H4" s="145">
        <f>'[1]Balance sheet'!$H$24</f>
        <v>1793081.5</v>
      </c>
      <c r="I4" s="66"/>
      <c r="J4" s="64">
        <v>2710157</v>
      </c>
    </row>
    <row r="5" spans="2:10" ht="15">
      <c r="B5" s="66" t="s">
        <v>58</v>
      </c>
      <c r="H5" s="145">
        <f>'[1]Balance sheet'!$H$25</f>
        <v>5645497.625</v>
      </c>
      <c r="I5" s="66"/>
      <c r="J5" s="64">
        <v>2300140</v>
      </c>
    </row>
    <row r="6" spans="2:10" ht="15">
      <c r="B6" s="66" t="s">
        <v>90</v>
      </c>
      <c r="H6" s="142"/>
      <c r="I6" s="66"/>
      <c r="J6" s="62"/>
    </row>
    <row r="7" spans="2:10" ht="15">
      <c r="B7" s="66" t="s">
        <v>535</v>
      </c>
      <c r="H7" s="142">
        <f>'[1]Balance sheet'!$H$27</f>
        <v>0</v>
      </c>
      <c r="I7" s="66"/>
      <c r="J7" s="62">
        <v>7691</v>
      </c>
    </row>
    <row r="8" spans="2:10" ht="15">
      <c r="B8" s="66" t="s">
        <v>82</v>
      </c>
      <c r="H8" s="145">
        <v>0</v>
      </c>
      <c r="I8" s="66"/>
      <c r="J8" s="64">
        <v>297</v>
      </c>
    </row>
    <row r="9" spans="2:10" ht="15">
      <c r="B9" s="66" t="s">
        <v>83</v>
      </c>
      <c r="H9" s="142">
        <f>'[1]Balance sheet'!$H$29</f>
        <v>2375279.707269999</v>
      </c>
      <c r="I9" s="66"/>
      <c r="J9" s="62">
        <v>1277671</v>
      </c>
    </row>
    <row r="10" spans="2:10" ht="15">
      <c r="B10" s="66" t="s">
        <v>357</v>
      </c>
      <c r="H10" s="145">
        <f>'[1]Balance sheet'!$H$30-10000000</f>
        <v>220.8283699993044</v>
      </c>
      <c r="I10" s="66"/>
      <c r="J10" s="62">
        <v>343805</v>
      </c>
    </row>
    <row r="11" spans="2:10" ht="15">
      <c r="B11" s="66" t="s">
        <v>471</v>
      </c>
      <c r="H11" s="142">
        <f>'[1]Balance sheet'!$H$32</f>
        <v>2703008.83667</v>
      </c>
      <c r="I11" s="66"/>
      <c r="J11" s="62">
        <v>1160210</v>
      </c>
    </row>
    <row r="12" spans="8:10" ht="15.75" thickBot="1">
      <c r="H12" s="144">
        <f>SUM(H4:H11)+2</f>
        <v>12517090.49731</v>
      </c>
      <c r="I12" s="66"/>
      <c r="J12" s="236">
        <f>SUM(J4:J11)</f>
        <v>7799971</v>
      </c>
    </row>
    <row r="13" ht="9.75" customHeight="1" thickTop="1"/>
    <row r="14" spans="1:2" ht="15">
      <c r="A14" s="72" t="s">
        <v>302</v>
      </c>
      <c r="B14" s="66" t="s">
        <v>899</v>
      </c>
    </row>
    <row r="15" spans="1:2" ht="15">
      <c r="A15" s="72"/>
      <c r="B15" s="66" t="s">
        <v>900</v>
      </c>
    </row>
    <row r="16" spans="1:2" ht="15">
      <c r="A16" s="371"/>
      <c r="B16" s="371" t="s">
        <v>453</v>
      </c>
    </row>
    <row r="17" ht="15">
      <c r="B17" s="5" t="s">
        <v>901</v>
      </c>
    </row>
    <row r="18" ht="9" customHeight="1"/>
    <row r="19" spans="1:2" ht="15">
      <c r="A19" s="67" t="s">
        <v>655</v>
      </c>
      <c r="B19" s="6" t="s">
        <v>815</v>
      </c>
    </row>
    <row r="20" ht="8.25" customHeight="1"/>
    <row r="21" spans="2:10" ht="15">
      <c r="B21" s="5" t="s">
        <v>741</v>
      </c>
      <c r="G21" s="40" t="s">
        <v>303</v>
      </c>
      <c r="H21" s="142">
        <f>'Note 21 - 25.1'!H45</f>
        <v>80452535</v>
      </c>
      <c r="I21" s="66"/>
      <c r="J21" s="62">
        <v>59285743</v>
      </c>
    </row>
    <row r="22" spans="2:10" ht="15">
      <c r="B22" s="5" t="s">
        <v>707</v>
      </c>
      <c r="G22" s="15"/>
      <c r="H22" s="142" t="s">
        <v>985</v>
      </c>
      <c r="I22" s="66"/>
      <c r="J22" s="62" t="s">
        <v>985</v>
      </c>
    </row>
    <row r="23" spans="2:10" ht="15">
      <c r="B23" s="20" t="s">
        <v>130</v>
      </c>
      <c r="G23" s="40" t="s">
        <v>304</v>
      </c>
      <c r="H23" s="258">
        <f>'Note 21 - 25.1'!H53</f>
        <v>26536666</v>
      </c>
      <c r="I23" s="66"/>
      <c r="J23" s="259">
        <v>19606971</v>
      </c>
    </row>
    <row r="24" spans="2:10" ht="15">
      <c r="B24" s="20" t="s">
        <v>131</v>
      </c>
      <c r="G24" s="40" t="s">
        <v>305</v>
      </c>
      <c r="H24" s="260">
        <f>'Note 21 - 25.1'!H61</f>
        <v>27935196</v>
      </c>
      <c r="I24" s="66"/>
      <c r="J24" s="261">
        <v>22971702</v>
      </c>
    </row>
    <row r="25" spans="2:10" ht="15">
      <c r="B25" s="20" t="s">
        <v>755</v>
      </c>
      <c r="G25" s="40" t="s">
        <v>306</v>
      </c>
      <c r="H25" s="260">
        <f>'Note 21 - 25.1'!H69</f>
        <v>7474126</v>
      </c>
      <c r="I25" s="66"/>
      <c r="J25" s="261">
        <v>2484464</v>
      </c>
    </row>
    <row r="26" spans="2:10" ht="15">
      <c r="B26" s="20" t="s">
        <v>24</v>
      </c>
      <c r="G26" s="40" t="s">
        <v>307</v>
      </c>
      <c r="H26" s="262">
        <f>'Note 21 - 25.1'!H79</f>
        <v>0</v>
      </c>
      <c r="I26" s="66"/>
      <c r="J26" s="263">
        <v>0</v>
      </c>
    </row>
    <row r="27" spans="8:10" ht="15">
      <c r="H27" s="142">
        <f>SUM(H23:H26)</f>
        <v>61945988</v>
      </c>
      <c r="I27" s="66"/>
      <c r="J27" s="62">
        <f>SUM(J23:J26)</f>
        <v>45063137</v>
      </c>
    </row>
    <row r="28" spans="1:10" ht="5.25" customHeight="1">
      <c r="A28" s="66"/>
      <c r="B28" s="66"/>
      <c r="H28" s="142"/>
      <c r="I28" s="66"/>
      <c r="J28" s="62"/>
    </row>
    <row r="29" spans="1:10" ht="15">
      <c r="A29" s="66"/>
      <c r="B29" s="5" t="s">
        <v>81</v>
      </c>
      <c r="H29" s="142">
        <v>4698599</v>
      </c>
      <c r="I29" s="66"/>
      <c r="J29" s="62">
        <v>568854</v>
      </c>
    </row>
    <row r="30" spans="8:10" ht="15.75" thickBot="1">
      <c r="H30" s="264">
        <f>H21+H27+H29</f>
        <v>147097122</v>
      </c>
      <c r="I30" s="66"/>
      <c r="J30" s="265">
        <f>J21+J27+J29</f>
        <v>104917734</v>
      </c>
    </row>
    <row r="31" ht="8.25" customHeight="1" thickTop="1"/>
    <row r="32" spans="1:2" ht="15">
      <c r="A32" s="67" t="s">
        <v>303</v>
      </c>
      <c r="B32" s="6" t="s">
        <v>741</v>
      </c>
    </row>
    <row r="33" spans="8:10" ht="8.25" customHeight="1">
      <c r="H33" s="69"/>
      <c r="I33" s="47"/>
      <c r="J33" s="47"/>
    </row>
    <row r="34" spans="2:11" ht="15">
      <c r="B34" s="5" t="s">
        <v>185</v>
      </c>
      <c r="H34" s="69">
        <v>33056</v>
      </c>
      <c r="I34" s="47"/>
      <c r="J34" s="47">
        <v>184642</v>
      </c>
      <c r="K34" s="5"/>
    </row>
    <row r="35" spans="2:11" ht="15">
      <c r="B35" s="5" t="s">
        <v>743</v>
      </c>
      <c r="H35" s="69">
        <v>13063</v>
      </c>
      <c r="I35" s="47"/>
      <c r="J35" s="47">
        <v>13616</v>
      </c>
      <c r="K35" s="5"/>
    </row>
    <row r="36" spans="2:11" ht="15">
      <c r="B36" s="5" t="s">
        <v>186</v>
      </c>
      <c r="H36" s="104">
        <v>14007202</v>
      </c>
      <c r="I36" s="47"/>
      <c r="J36" s="42">
        <v>13867615</v>
      </c>
      <c r="K36" s="5"/>
    </row>
    <row r="37" spans="2:11" ht="15">
      <c r="B37" s="5" t="s">
        <v>187</v>
      </c>
      <c r="G37" s="12">
        <v>22.6</v>
      </c>
      <c r="H37" s="104">
        <v>-5522955</v>
      </c>
      <c r="I37" s="47"/>
      <c r="J37" s="42">
        <v>-3211416</v>
      </c>
      <c r="K37" s="5"/>
    </row>
    <row r="38" spans="2:11" ht="15">
      <c r="B38" s="5" t="s">
        <v>742</v>
      </c>
      <c r="H38" s="104">
        <v>34495</v>
      </c>
      <c r="I38" s="47"/>
      <c r="J38" s="42">
        <v>34399</v>
      </c>
      <c r="K38" s="5"/>
    </row>
    <row r="39" spans="2:11" ht="15">
      <c r="B39" s="5" t="s">
        <v>452</v>
      </c>
      <c r="H39" s="104">
        <v>4124</v>
      </c>
      <c r="I39" s="47"/>
      <c r="J39" s="42">
        <v>4124</v>
      </c>
      <c r="K39" s="5"/>
    </row>
    <row r="40" spans="2:11" ht="15">
      <c r="B40" s="5" t="s">
        <v>59</v>
      </c>
      <c r="H40" s="148">
        <v>346366</v>
      </c>
      <c r="I40" s="47"/>
      <c r="J40" s="71">
        <v>253366</v>
      </c>
      <c r="K40" s="5"/>
    </row>
    <row r="41" spans="2:11" ht="15">
      <c r="B41" s="22" t="s">
        <v>926</v>
      </c>
      <c r="H41" s="148">
        <v>2011650</v>
      </c>
      <c r="I41" s="47"/>
      <c r="J41" s="71">
        <v>1736538</v>
      </c>
      <c r="K41" s="5"/>
    </row>
    <row r="42" spans="2:11" ht="15">
      <c r="B42" s="5" t="s">
        <v>744</v>
      </c>
      <c r="H42" s="148">
        <v>5276</v>
      </c>
      <c r="I42" s="47"/>
      <c r="J42" s="71">
        <v>5276</v>
      </c>
      <c r="K42" s="5"/>
    </row>
    <row r="43" spans="2:11" ht="15">
      <c r="B43" s="5" t="s">
        <v>370</v>
      </c>
      <c r="H43" s="148">
        <v>53814741</v>
      </c>
      <c r="I43" s="47"/>
      <c r="J43" s="71">
        <v>37616343</v>
      </c>
      <c r="K43" s="5"/>
    </row>
    <row r="44" spans="2:11" ht="15">
      <c r="B44" s="5" t="s">
        <v>371</v>
      </c>
      <c r="H44" s="148">
        <v>15705517</v>
      </c>
      <c r="I44" s="47"/>
      <c r="J44" s="71">
        <v>8781240</v>
      </c>
      <c r="K44" s="5"/>
    </row>
    <row r="45" spans="8:11" ht="15.75" thickBot="1">
      <c r="H45" s="253">
        <f>SUM(H34:H44)</f>
        <v>80452535</v>
      </c>
      <c r="I45" s="47"/>
      <c r="J45" s="254">
        <f>SUM(J34:J44)</f>
        <v>59285743</v>
      </c>
      <c r="K45" s="5"/>
    </row>
    <row r="46" spans="1:10" ht="15.75" thickTop="1">
      <c r="A46" s="67" t="s">
        <v>304</v>
      </c>
      <c r="B46" s="6" t="s">
        <v>745</v>
      </c>
      <c r="H46" s="211">
        <v>2006</v>
      </c>
      <c r="I46" s="77"/>
      <c r="J46" s="212">
        <v>2005</v>
      </c>
    </row>
    <row r="47" spans="1:10" ht="15">
      <c r="A47" s="67"/>
      <c r="B47" s="6"/>
      <c r="H47" s="66"/>
      <c r="I47" s="15" t="s">
        <v>832</v>
      </c>
      <c r="J47" s="15"/>
    </row>
    <row r="48" spans="8:16" ht="6.75" customHeight="1">
      <c r="H48" s="69"/>
      <c r="I48" s="47"/>
      <c r="J48" s="47"/>
      <c r="O48" s="4"/>
      <c r="P48" s="4"/>
    </row>
    <row r="49" spans="2:16" ht="15">
      <c r="B49" s="5" t="s">
        <v>185</v>
      </c>
      <c r="H49" s="69">
        <v>-3057044</v>
      </c>
      <c r="I49" s="47"/>
      <c r="J49" s="47">
        <v>-2134153</v>
      </c>
      <c r="K49" s="213"/>
      <c r="O49" s="4"/>
      <c r="P49" s="4"/>
    </row>
    <row r="50" spans="2:16" ht="15">
      <c r="B50" s="5" t="s">
        <v>743</v>
      </c>
      <c r="H50" s="69">
        <v>1140669</v>
      </c>
      <c r="I50" s="47"/>
      <c r="J50" s="47">
        <v>1004477</v>
      </c>
      <c r="O50" s="4"/>
      <c r="P50" s="4"/>
    </row>
    <row r="51" spans="2:16" ht="15">
      <c r="B51" s="5" t="s">
        <v>186</v>
      </c>
      <c r="H51" s="69">
        <v>155291</v>
      </c>
      <c r="I51" s="47"/>
      <c r="J51" s="47">
        <v>101542</v>
      </c>
      <c r="O51" s="4"/>
      <c r="P51" s="4"/>
    </row>
    <row r="52" spans="2:10" ht="15">
      <c r="B52" s="5" t="s">
        <v>747</v>
      </c>
      <c r="H52" s="104">
        <v>28297750</v>
      </c>
      <c r="I52" s="47"/>
      <c r="J52" s="71">
        <v>20635105</v>
      </c>
    </row>
    <row r="53" spans="8:10" ht="15.75" thickBot="1">
      <c r="H53" s="253">
        <f>SUM(H49:H52)</f>
        <v>26536666</v>
      </c>
      <c r="I53" s="47"/>
      <c r="J53" s="254">
        <f>SUM(J49:J52)</f>
        <v>19606971</v>
      </c>
    </row>
    <row r="54" spans="8:10" ht="6.75" customHeight="1" thickTop="1">
      <c r="H54" s="148"/>
      <c r="I54" s="47"/>
      <c r="J54" s="71"/>
    </row>
    <row r="55" spans="1:10" ht="15">
      <c r="A55" s="67" t="s">
        <v>305</v>
      </c>
      <c r="B55" s="6" t="s">
        <v>748</v>
      </c>
      <c r="H55" s="69"/>
      <c r="I55" s="47"/>
      <c r="J55" s="47"/>
    </row>
    <row r="56" spans="8:10" ht="9" customHeight="1">
      <c r="H56" s="69"/>
      <c r="I56" s="47"/>
      <c r="J56" s="47"/>
    </row>
    <row r="57" spans="2:17" ht="15">
      <c r="B57" s="5" t="s">
        <v>185</v>
      </c>
      <c r="H57" s="145">
        <v>21045688</v>
      </c>
      <c r="I57" s="47"/>
      <c r="J57" s="151">
        <v>17578105</v>
      </c>
      <c r="L57" s="5"/>
      <c r="N57" s="5"/>
      <c r="O57" s="5"/>
      <c r="P57" s="113">
        <f>Q57*-1</f>
        <v>-79146.81315999999</v>
      </c>
      <c r="Q57" s="3">
        <v>79146.81315999999</v>
      </c>
    </row>
    <row r="58" spans="2:17" ht="15">
      <c r="B58" s="5" t="s">
        <v>743</v>
      </c>
      <c r="H58" s="145">
        <v>358481</v>
      </c>
      <c r="I58" s="47"/>
      <c r="J58" s="151">
        <v>35901</v>
      </c>
      <c r="L58" s="5"/>
      <c r="M58" s="7"/>
      <c r="N58" s="5"/>
      <c r="O58" s="5"/>
      <c r="P58" s="113">
        <f>Q58*-1</f>
        <v>181227.17516999997</v>
      </c>
      <c r="Q58" s="3">
        <v>-181227.17516999997</v>
      </c>
    </row>
    <row r="59" spans="2:17" ht="15">
      <c r="B59" s="5" t="s">
        <v>186</v>
      </c>
      <c r="H59" s="145">
        <v>86809</v>
      </c>
      <c r="I59" s="47"/>
      <c r="J59" s="151">
        <v>75084</v>
      </c>
      <c r="L59" s="5"/>
      <c r="M59" s="7"/>
      <c r="N59" s="5"/>
      <c r="O59" s="5"/>
      <c r="P59" s="113">
        <f>Q59*-1</f>
        <v>144916.9965</v>
      </c>
      <c r="Q59" s="52">
        <v>-144916.9965</v>
      </c>
    </row>
    <row r="60" spans="2:13" ht="15">
      <c r="B60" s="5" t="s">
        <v>747</v>
      </c>
      <c r="H60" s="145">
        <v>6444218</v>
      </c>
      <c r="I60" s="47"/>
      <c r="J60" s="151">
        <v>5282612</v>
      </c>
      <c r="L60" s="5"/>
      <c r="M60" s="7"/>
    </row>
    <row r="61" spans="8:10" ht="15.75" thickBot="1">
      <c r="H61" s="264">
        <f>SUM(H57:H60)</f>
        <v>27935196</v>
      </c>
      <c r="I61" s="47"/>
      <c r="J61" s="271">
        <f>SUM(J57:J60)</f>
        <v>22971702</v>
      </c>
    </row>
    <row r="62" spans="8:10" ht="9" customHeight="1" thickTop="1">
      <c r="H62" s="69"/>
      <c r="I62" s="47"/>
      <c r="J62" s="47"/>
    </row>
    <row r="63" spans="1:10" ht="15">
      <c r="A63" s="67" t="s">
        <v>306</v>
      </c>
      <c r="B63" s="6" t="s">
        <v>749</v>
      </c>
      <c r="H63" s="15"/>
      <c r="J63" s="9"/>
    </row>
    <row r="64" spans="8:10" ht="9.75" customHeight="1">
      <c r="H64" s="69"/>
      <c r="I64" s="47"/>
      <c r="J64" s="47"/>
    </row>
    <row r="65" spans="2:12" ht="15">
      <c r="B65" s="5" t="s">
        <v>185</v>
      </c>
      <c r="H65" s="148">
        <v>5330813</v>
      </c>
      <c r="I65" s="47"/>
      <c r="J65" s="71">
        <v>1072476</v>
      </c>
      <c r="K65" s="3"/>
      <c r="L65" s="213"/>
    </row>
    <row r="66" spans="2:12" ht="15">
      <c r="B66" s="5" t="s">
        <v>743</v>
      </c>
      <c r="H66" s="148">
        <v>359919</v>
      </c>
      <c r="I66" s="47"/>
      <c r="J66" s="71">
        <v>760235</v>
      </c>
      <c r="K66" s="3"/>
      <c r="L66" s="213"/>
    </row>
    <row r="67" spans="2:12" ht="15">
      <c r="B67" s="5" t="s">
        <v>186</v>
      </c>
      <c r="H67" s="148">
        <v>1480</v>
      </c>
      <c r="I67" s="47"/>
      <c r="J67" s="71">
        <v>412</v>
      </c>
      <c r="K67" s="3"/>
      <c r="L67" s="213"/>
    </row>
    <row r="68" spans="2:12" ht="15">
      <c r="B68" s="5" t="s">
        <v>747</v>
      </c>
      <c r="H68" s="148">
        <v>1781914</v>
      </c>
      <c r="I68" s="47"/>
      <c r="J68" s="71">
        <v>651341</v>
      </c>
      <c r="K68" s="3"/>
      <c r="L68" s="213"/>
    </row>
    <row r="69" spans="8:11" ht="15.75" thickBot="1">
      <c r="H69" s="264">
        <f>SUM(H65:H68)</f>
        <v>7474126</v>
      </c>
      <c r="I69" s="47"/>
      <c r="J69" s="271">
        <f>SUM(J65:J68)</f>
        <v>2484464</v>
      </c>
      <c r="K69" s="3"/>
    </row>
    <row r="70" spans="8:11" ht="6.75" customHeight="1" thickTop="1">
      <c r="H70" s="69"/>
      <c r="I70" s="47"/>
      <c r="J70" s="47"/>
      <c r="K70" s="3"/>
    </row>
    <row r="71" spans="1:11" ht="15">
      <c r="A71" s="67" t="s">
        <v>307</v>
      </c>
      <c r="B71" s="6" t="s">
        <v>752</v>
      </c>
      <c r="H71" s="69"/>
      <c r="I71" s="47"/>
      <c r="J71" s="47"/>
      <c r="K71" s="3"/>
    </row>
    <row r="72" spans="8:11" ht="6" customHeight="1">
      <c r="H72" s="69"/>
      <c r="I72" s="47"/>
      <c r="J72" s="47"/>
      <c r="K72" s="3"/>
    </row>
    <row r="73" spans="2:12" ht="15">
      <c r="B73" s="5" t="s">
        <v>185</v>
      </c>
      <c r="H73" s="145">
        <v>-11621795</v>
      </c>
      <c r="I73" s="47"/>
      <c r="J73" s="151">
        <v>-3840510</v>
      </c>
      <c r="K73" s="3"/>
      <c r="L73" s="214"/>
    </row>
    <row r="74" spans="2:12" ht="15">
      <c r="B74" s="5" t="s">
        <v>743</v>
      </c>
      <c r="H74" s="145">
        <v>28179</v>
      </c>
      <c r="I74" s="47"/>
      <c r="J74" s="151">
        <v>58481</v>
      </c>
      <c r="K74" s="3"/>
      <c r="L74" s="214"/>
    </row>
    <row r="75" spans="2:12" ht="15">
      <c r="B75" s="5" t="s">
        <v>186</v>
      </c>
      <c r="H75" s="145">
        <v>1</v>
      </c>
      <c r="I75" s="47"/>
      <c r="J75" s="151">
        <v>2</v>
      </c>
      <c r="K75" s="3"/>
      <c r="L75" s="214"/>
    </row>
    <row r="76" spans="2:12" ht="15">
      <c r="B76" s="5" t="s">
        <v>747</v>
      </c>
      <c r="H76" s="266">
        <v>2689347</v>
      </c>
      <c r="I76" s="47"/>
      <c r="J76" s="267">
        <v>1667982</v>
      </c>
      <c r="K76" s="3"/>
      <c r="L76" s="214"/>
    </row>
    <row r="77" spans="8:12" ht="15">
      <c r="H77" s="145">
        <f>SUM(H73:H76)</f>
        <v>-8904268</v>
      </c>
      <c r="I77" s="47"/>
      <c r="J77" s="151">
        <f>SUM(J73:J76)</f>
        <v>-2114045</v>
      </c>
      <c r="K77" s="3"/>
      <c r="L77" s="214"/>
    </row>
    <row r="78" spans="2:12" ht="15">
      <c r="B78" s="5" t="s">
        <v>715</v>
      </c>
      <c r="G78" s="12">
        <v>22.6</v>
      </c>
      <c r="H78" s="145">
        <f>-H77</f>
        <v>8904268</v>
      </c>
      <c r="I78" s="47"/>
      <c r="J78" s="151">
        <f>-J77</f>
        <v>2114045</v>
      </c>
      <c r="K78" s="3"/>
      <c r="L78" s="214"/>
    </row>
    <row r="79" spans="2:11" ht="15.75" thickBot="1">
      <c r="B79" s="5" t="s">
        <v>759</v>
      </c>
      <c r="H79" s="264">
        <f>SUM(H77:H78)</f>
        <v>0</v>
      </c>
      <c r="I79" s="47"/>
      <c r="J79" s="271">
        <f>SUM(J77:J78)</f>
        <v>0</v>
      </c>
      <c r="K79" s="3"/>
    </row>
    <row r="80" spans="8:11" ht="10.5" customHeight="1" thickTop="1">
      <c r="H80" s="104"/>
      <c r="I80" s="47"/>
      <c r="J80" s="42"/>
      <c r="K80" s="3"/>
    </row>
    <row r="81" spans="1:10" ht="15" customHeight="1">
      <c r="A81" s="67" t="s">
        <v>308</v>
      </c>
      <c r="B81" s="475" t="s">
        <v>508</v>
      </c>
      <c r="C81" s="475"/>
      <c r="D81" s="475"/>
      <c r="E81" s="475"/>
      <c r="F81" s="475"/>
      <c r="G81" s="475"/>
      <c r="H81" s="475"/>
      <c r="I81" s="475"/>
      <c r="J81" s="475"/>
    </row>
    <row r="82" spans="1:10" ht="15">
      <c r="A82" s="67"/>
      <c r="B82" s="187"/>
      <c r="C82" s="187"/>
      <c r="D82" s="187"/>
      <c r="E82" s="187"/>
      <c r="F82" s="187"/>
      <c r="G82" s="187"/>
      <c r="H82" s="187"/>
      <c r="I82" s="187"/>
      <c r="J82" s="187"/>
    </row>
    <row r="83" spans="1:12" ht="15">
      <c r="A83" s="67" t="s">
        <v>656</v>
      </c>
      <c r="B83" s="6" t="s">
        <v>465</v>
      </c>
      <c r="H83" s="7"/>
      <c r="I83" s="7"/>
      <c r="J83" s="7"/>
      <c r="L83" s="44"/>
    </row>
    <row r="84" spans="8:10" ht="12.75" customHeight="1">
      <c r="H84" s="7"/>
      <c r="I84" s="7"/>
      <c r="J84" s="7"/>
    </row>
    <row r="85" spans="2:10" ht="15">
      <c r="B85" s="5" t="s">
        <v>509</v>
      </c>
      <c r="H85" s="7"/>
      <c r="I85" s="7"/>
      <c r="J85" s="7"/>
    </row>
    <row r="86" spans="2:10" ht="15">
      <c r="B86" s="5" t="s">
        <v>203</v>
      </c>
      <c r="H86" s="7"/>
      <c r="I86" s="7"/>
      <c r="J86" s="7"/>
    </row>
    <row r="87" spans="8:10" ht="15">
      <c r="H87" s="7"/>
      <c r="I87" s="7"/>
      <c r="J87" s="7"/>
    </row>
    <row r="88" spans="1:10" ht="15">
      <c r="A88" s="106" t="s">
        <v>660</v>
      </c>
      <c r="B88" s="6" t="s">
        <v>188</v>
      </c>
      <c r="C88" s="94"/>
      <c r="H88" s="211">
        <v>2006</v>
      </c>
      <c r="I88" s="77"/>
      <c r="J88" s="212">
        <v>2005</v>
      </c>
    </row>
    <row r="89" spans="1:10" ht="15">
      <c r="A89" s="94"/>
      <c r="B89" s="101" t="s">
        <v>537</v>
      </c>
      <c r="H89" s="66"/>
      <c r="I89" s="15" t="s">
        <v>832</v>
      </c>
      <c r="J89" s="15"/>
    </row>
    <row r="90" spans="1:10" ht="10.5" customHeight="1">
      <c r="A90" s="94"/>
      <c r="B90" s="101"/>
      <c r="H90" s="7"/>
      <c r="I90" s="7"/>
      <c r="J90" s="7"/>
    </row>
    <row r="91" spans="1:10" ht="15">
      <c r="A91" s="94"/>
      <c r="B91" s="101" t="s">
        <v>935</v>
      </c>
      <c r="C91" s="94"/>
      <c r="H91" s="7"/>
      <c r="I91" s="7"/>
      <c r="J91" s="7"/>
    </row>
    <row r="92" spans="1:10" ht="10.5" customHeight="1">
      <c r="A92" s="94"/>
      <c r="B92" s="101"/>
      <c r="C92" s="94"/>
      <c r="H92" s="7"/>
      <c r="I92" s="7"/>
      <c r="J92" s="7"/>
    </row>
    <row r="93" spans="1:10" ht="15">
      <c r="A93" s="94"/>
      <c r="B93" s="94" t="s">
        <v>650</v>
      </c>
      <c r="H93" s="145">
        <v>19537121</v>
      </c>
      <c r="I93" s="424"/>
      <c r="J93" s="424">
        <v>15920332</v>
      </c>
    </row>
    <row r="94" spans="1:10" ht="15">
      <c r="A94" s="94"/>
      <c r="B94" s="94" t="s">
        <v>454</v>
      </c>
      <c r="H94" s="266">
        <v>43869431</v>
      </c>
      <c r="I94" s="424"/>
      <c r="J94" s="422">
        <v>41135858</v>
      </c>
    </row>
    <row r="95" spans="1:10" ht="15">
      <c r="A95" s="94"/>
      <c r="B95" s="101"/>
      <c r="C95" s="109"/>
      <c r="H95" s="145">
        <f>SUM(H93:H94)</f>
        <v>63406552</v>
      </c>
      <c r="I95" s="424"/>
      <c r="J95" s="424">
        <f>SUM(J93:J94)</f>
        <v>57056190</v>
      </c>
    </row>
    <row r="96" spans="1:10" ht="15">
      <c r="A96" s="94"/>
      <c r="B96" s="101" t="s">
        <v>975</v>
      </c>
      <c r="C96" s="109"/>
      <c r="H96" s="145"/>
      <c r="I96" s="424"/>
      <c r="J96" s="424"/>
    </row>
    <row r="97" spans="1:10" ht="10.5" customHeight="1">
      <c r="A97" s="94"/>
      <c r="B97" s="101"/>
      <c r="C97" s="109"/>
      <c r="H97" s="145"/>
      <c r="I97" s="424"/>
      <c r="J97" s="424"/>
    </row>
    <row r="98" spans="1:10" ht="15">
      <c r="A98" s="94"/>
      <c r="B98" s="94" t="s">
        <v>650</v>
      </c>
      <c r="H98" s="258">
        <v>142849429</v>
      </c>
      <c r="I98" s="424"/>
      <c r="J98" s="429">
        <v>137804690</v>
      </c>
    </row>
    <row r="99" spans="1:10" ht="15">
      <c r="A99" s="94"/>
      <c r="B99" s="94" t="s">
        <v>449</v>
      </c>
      <c r="H99" s="260">
        <v>1316827</v>
      </c>
      <c r="I99" s="424"/>
      <c r="J99" s="430">
        <v>1450434</v>
      </c>
    </row>
    <row r="100" spans="1:10" ht="15">
      <c r="A100" s="94"/>
      <c r="B100" s="94" t="s">
        <v>746</v>
      </c>
      <c r="H100" s="262">
        <v>1449</v>
      </c>
      <c r="I100" s="424"/>
      <c r="J100" s="431">
        <v>955</v>
      </c>
    </row>
    <row r="101" spans="8:10" ht="15">
      <c r="H101" s="145">
        <f>SUM(H98:H100)</f>
        <v>144167705</v>
      </c>
      <c r="I101" s="424"/>
      <c r="J101" s="424">
        <f>SUM(J98:J100)</f>
        <v>139256079</v>
      </c>
    </row>
    <row r="102" spans="8:10" ht="15.75" thickBot="1">
      <c r="H102" s="264">
        <f>+H101+H95</f>
        <v>207574257</v>
      </c>
      <c r="I102" s="424"/>
      <c r="J102" s="425">
        <f>+J101+J95</f>
        <v>196312269</v>
      </c>
    </row>
    <row r="103" ht="10.5" customHeight="1" thickTop="1"/>
    <row r="104" spans="1:3" ht="15">
      <c r="A104" s="67" t="s">
        <v>788</v>
      </c>
      <c r="B104" s="170" t="s">
        <v>455</v>
      </c>
      <c r="C104" s="66"/>
    </row>
    <row r="105" ht="15">
      <c r="B105" s="5" t="s">
        <v>456</v>
      </c>
    </row>
    <row r="106" ht="10.5" customHeight="1"/>
    <row r="107" spans="8:10" ht="15">
      <c r="H107" s="15">
        <v>2006</v>
      </c>
      <c r="J107" s="9">
        <v>2005</v>
      </c>
    </row>
    <row r="108" spans="8:10" ht="15">
      <c r="H108" s="505" t="s">
        <v>696</v>
      </c>
      <c r="I108" s="505"/>
      <c r="J108" s="505"/>
    </row>
    <row r="109" ht="10.5" customHeight="1"/>
    <row r="110" spans="2:10" ht="15">
      <c r="B110" s="5" t="s">
        <v>935</v>
      </c>
      <c r="H110" s="15" t="s">
        <v>632</v>
      </c>
      <c r="I110" s="9"/>
      <c r="J110" s="9" t="s">
        <v>724</v>
      </c>
    </row>
    <row r="111" spans="2:10" ht="15">
      <c r="B111" s="5" t="s">
        <v>975</v>
      </c>
      <c r="H111" s="15" t="s">
        <v>120</v>
      </c>
      <c r="I111" s="9"/>
      <c r="J111" s="9" t="s">
        <v>612</v>
      </c>
    </row>
    <row r="112" ht="10.5" customHeight="1"/>
    <row r="113" spans="1:10" ht="15">
      <c r="A113" s="106" t="s">
        <v>662</v>
      </c>
      <c r="B113" s="101" t="s">
        <v>191</v>
      </c>
      <c r="G113" s="5"/>
      <c r="H113" s="15">
        <v>2006</v>
      </c>
      <c r="J113" s="9">
        <v>2005</v>
      </c>
    </row>
    <row r="114" spans="1:10" ht="15">
      <c r="A114" s="103"/>
      <c r="B114" s="22"/>
      <c r="G114" s="4"/>
      <c r="H114" s="492" t="s">
        <v>832</v>
      </c>
      <c r="I114" s="492"/>
      <c r="J114" s="492"/>
    </row>
    <row r="115" ht="10.5" customHeight="1">
      <c r="G115" s="5"/>
    </row>
    <row r="116" spans="1:10" ht="15">
      <c r="A116" s="94"/>
      <c r="B116" s="101" t="s">
        <v>935</v>
      </c>
      <c r="C116" s="94"/>
      <c r="G116" s="94"/>
      <c r="H116" s="164"/>
      <c r="I116" s="108"/>
      <c r="J116" s="108"/>
    </row>
    <row r="117" spans="1:10" ht="10.5" customHeight="1">
      <c r="A117" s="94"/>
      <c r="B117" s="101"/>
      <c r="G117" s="5"/>
      <c r="H117" s="98"/>
      <c r="J117" s="10"/>
    </row>
    <row r="118" spans="1:10" ht="15">
      <c r="A118" s="94"/>
      <c r="B118" s="94" t="s">
        <v>189</v>
      </c>
      <c r="G118" s="3"/>
      <c r="H118" s="145">
        <f>-'[1]BS Breakup'!$F$351/1000</f>
        <v>27090450</v>
      </c>
      <c r="I118" s="424"/>
      <c r="J118" s="424">
        <v>26858250</v>
      </c>
    </row>
    <row r="119" spans="1:10" ht="15">
      <c r="A119" s="94"/>
      <c r="B119" s="108" t="s">
        <v>691</v>
      </c>
      <c r="G119" s="3"/>
      <c r="H119" s="145">
        <f>-'[1]BS Breakup'!$F$352/1000</f>
        <v>15050250</v>
      </c>
      <c r="I119" s="424"/>
      <c r="J119" s="424">
        <v>14921250</v>
      </c>
    </row>
    <row r="120" spans="1:10" ht="15">
      <c r="A120" s="94"/>
      <c r="B120" s="5" t="s">
        <v>746</v>
      </c>
      <c r="G120" s="3"/>
      <c r="H120" s="266">
        <f>-'[1]BS Breakup'!$I$367/1000</f>
        <v>12744930.901289994</v>
      </c>
      <c r="I120" s="108"/>
      <c r="J120" s="422">
        <v>4507185</v>
      </c>
    </row>
    <row r="121" spans="1:10" ht="15">
      <c r="A121" s="94"/>
      <c r="B121" s="101"/>
      <c r="C121" s="109"/>
      <c r="G121" s="3"/>
      <c r="H121" s="145">
        <f>SUM(H118:H120)</f>
        <v>54885630.90128999</v>
      </c>
      <c r="I121" s="424"/>
      <c r="J121" s="424">
        <f>SUM(J118:J120)</f>
        <v>46286685</v>
      </c>
    </row>
    <row r="122" spans="1:10" ht="15">
      <c r="A122" s="94"/>
      <c r="B122" s="101" t="s">
        <v>975</v>
      </c>
      <c r="C122" s="109"/>
      <c r="G122" s="110"/>
      <c r="H122" s="145"/>
      <c r="I122" s="424"/>
      <c r="J122" s="424"/>
    </row>
    <row r="123" spans="1:10" ht="10.5" customHeight="1">
      <c r="A123" s="94"/>
      <c r="B123" s="101"/>
      <c r="C123" s="109"/>
      <c r="G123" s="94"/>
      <c r="H123" s="266"/>
      <c r="I123" s="424"/>
      <c r="J123" s="422"/>
    </row>
    <row r="124" spans="1:10" ht="15">
      <c r="A124" s="94"/>
      <c r="B124" s="94" t="s">
        <v>190</v>
      </c>
      <c r="G124" s="40" t="s">
        <v>538</v>
      </c>
      <c r="H124" s="258">
        <v>23273267</v>
      </c>
      <c r="I124" s="424"/>
      <c r="J124" s="429">
        <v>23755341</v>
      </c>
    </row>
    <row r="125" spans="1:10" ht="15">
      <c r="A125" s="94"/>
      <c r="B125" s="94" t="s">
        <v>669</v>
      </c>
      <c r="G125" s="40" t="s">
        <v>309</v>
      </c>
      <c r="H125" s="260">
        <v>11012500</v>
      </c>
      <c r="I125" s="424"/>
      <c r="J125" s="430">
        <v>11012500</v>
      </c>
    </row>
    <row r="126" spans="1:10" ht="15">
      <c r="A126" s="94"/>
      <c r="B126" s="5" t="s">
        <v>471</v>
      </c>
      <c r="G126" s="203"/>
      <c r="H126" s="262">
        <f>15451551+18293</f>
        <v>15469844</v>
      </c>
      <c r="I126" s="424"/>
      <c r="J126" s="431">
        <v>10074745</v>
      </c>
    </row>
    <row r="127" spans="7:10" ht="15">
      <c r="G127" s="94"/>
      <c r="H127" s="145">
        <f>SUM(H124:H126)</f>
        <v>49755611</v>
      </c>
      <c r="I127" s="424"/>
      <c r="J127" s="424">
        <f>SUM(J124:J126)</f>
        <v>44842586</v>
      </c>
    </row>
    <row r="128" spans="7:10" ht="15.75" thickBot="1">
      <c r="G128" s="94"/>
      <c r="H128" s="264">
        <f>H121+H127</f>
        <v>104641241.90129</v>
      </c>
      <c r="I128" s="424"/>
      <c r="J128" s="425">
        <f>+J127+J121</f>
        <v>91129271</v>
      </c>
    </row>
    <row r="129" ht="10.5" customHeight="1" thickTop="1"/>
    <row r="130" spans="1:2" ht="15">
      <c r="A130" s="67" t="s">
        <v>211</v>
      </c>
      <c r="B130" s="5" t="s">
        <v>968</v>
      </c>
    </row>
    <row r="131" spans="1:10" ht="15">
      <c r="A131" s="6"/>
      <c r="H131" s="15">
        <v>2006</v>
      </c>
      <c r="J131" s="9">
        <v>2005</v>
      </c>
    </row>
    <row r="132" spans="1:10" ht="15">
      <c r="A132" s="6"/>
      <c r="H132" s="505" t="s">
        <v>696</v>
      </c>
      <c r="I132" s="505"/>
      <c r="J132" s="505"/>
    </row>
    <row r="133" spans="1:10" ht="15">
      <c r="A133" s="6"/>
      <c r="H133" s="25"/>
      <c r="J133" s="25"/>
    </row>
    <row r="134" spans="1:10" ht="15">
      <c r="A134" s="6"/>
      <c r="B134" s="94" t="s">
        <v>189</v>
      </c>
      <c r="H134" s="15" t="s">
        <v>765</v>
      </c>
      <c r="I134" s="25"/>
      <c r="J134" s="9" t="s">
        <v>633</v>
      </c>
    </row>
    <row r="135" spans="1:10" ht="15">
      <c r="A135" s="6"/>
      <c r="B135" s="94" t="s">
        <v>691</v>
      </c>
      <c r="H135" s="15" t="s">
        <v>408</v>
      </c>
      <c r="I135" s="25"/>
      <c r="J135" s="9" t="s">
        <v>726</v>
      </c>
    </row>
  </sheetData>
  <mergeCells count="4">
    <mergeCell ref="B81:J81"/>
    <mergeCell ref="H108:J108"/>
    <mergeCell ref="H114:J114"/>
    <mergeCell ref="H132:J132"/>
  </mergeCells>
  <printOptions/>
  <pageMargins left="0.75" right="0.5" top="1" bottom="1" header="0.5" footer="0.5"/>
  <pageSetup horizontalDpi="600" verticalDpi="600" orientation="portrait" paperSize="9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728"/>
  <sheetViews>
    <sheetView view="pageBreakPreview" zoomScaleSheetLayoutView="100" workbookViewId="0" topLeftCell="A37">
      <selection activeCell="A13" sqref="A13"/>
    </sheetView>
  </sheetViews>
  <sheetFormatPr defaultColWidth="9.140625" defaultRowHeight="15" customHeight="1"/>
  <cols>
    <col min="1" max="1" width="4.8515625" style="5" customWidth="1"/>
    <col min="2" max="2" width="1.421875" style="5" customWidth="1"/>
    <col min="3" max="3" width="47.00390625" style="5" customWidth="1"/>
    <col min="4" max="4" width="6.7109375" style="5" customWidth="1"/>
    <col min="5" max="5" width="13.7109375" style="5" customWidth="1"/>
    <col min="6" max="6" width="1.7109375" style="5" customWidth="1"/>
    <col min="7" max="7" width="13.7109375" style="5" customWidth="1"/>
    <col min="8" max="8" width="2.28125" style="5" customWidth="1"/>
    <col min="9" max="9" width="13.7109375" style="5" customWidth="1"/>
    <col min="10" max="10" width="10.28125" style="5" customWidth="1"/>
    <col min="11" max="16384" width="7.57421875" style="5" customWidth="1"/>
  </cols>
  <sheetData>
    <row r="1" spans="1:8" ht="15" customHeight="1">
      <c r="A1" s="106" t="s">
        <v>538</v>
      </c>
      <c r="B1" s="108" t="s">
        <v>532</v>
      </c>
      <c r="C1" s="108"/>
      <c r="D1" s="108"/>
      <c r="E1" s="108"/>
      <c r="F1" s="108"/>
      <c r="G1" s="108"/>
      <c r="H1" s="10"/>
    </row>
    <row r="2" spans="1:8" ht="15" customHeight="1">
      <c r="A2" s="108"/>
      <c r="B2" s="108" t="s">
        <v>533</v>
      </c>
      <c r="C2" s="108"/>
      <c r="D2" s="108"/>
      <c r="E2" s="108"/>
      <c r="F2" s="108"/>
      <c r="G2" s="108"/>
      <c r="H2" s="10"/>
    </row>
    <row r="3" spans="1:8" ht="6" customHeight="1">
      <c r="A3" s="108"/>
      <c r="B3" s="108"/>
      <c r="C3" s="108"/>
      <c r="D3" s="108"/>
      <c r="E3" s="108"/>
      <c r="F3" s="108"/>
      <c r="G3" s="108"/>
      <c r="H3" s="10"/>
    </row>
    <row r="4" spans="1:8" ht="15" customHeight="1">
      <c r="A4" s="72" t="s">
        <v>309</v>
      </c>
      <c r="B4" s="108" t="s">
        <v>544</v>
      </c>
      <c r="C4" s="108"/>
      <c r="D4" s="108"/>
      <c r="E4" s="108"/>
      <c r="F4" s="108"/>
      <c r="G4" s="108"/>
      <c r="H4" s="10"/>
    </row>
    <row r="5" spans="1:8" ht="15" customHeight="1">
      <c r="A5" s="108"/>
      <c r="B5" s="108" t="s">
        <v>545</v>
      </c>
      <c r="C5" s="108"/>
      <c r="D5" s="108"/>
      <c r="E5" s="108"/>
      <c r="F5" s="108"/>
      <c r="G5" s="108"/>
      <c r="H5" s="10"/>
    </row>
    <row r="6" spans="1:8" ht="15" customHeight="1">
      <c r="A6" s="108"/>
      <c r="B6" s="108" t="s">
        <v>546</v>
      </c>
      <c r="C6" s="108"/>
      <c r="D6" s="108"/>
      <c r="E6" s="108"/>
      <c r="F6" s="108"/>
      <c r="G6" s="108"/>
      <c r="H6" s="10"/>
    </row>
    <row r="7" spans="1:8" ht="6" customHeight="1">
      <c r="A7" s="108"/>
      <c r="B7" s="108"/>
      <c r="C7" s="108"/>
      <c r="D7" s="108"/>
      <c r="E7" s="108"/>
      <c r="F7" s="108"/>
      <c r="G7" s="108"/>
      <c r="H7" s="10"/>
    </row>
    <row r="8" spans="1:8" ht="15" customHeight="1">
      <c r="A8" s="67" t="s">
        <v>664</v>
      </c>
      <c r="B8" s="6" t="s">
        <v>772</v>
      </c>
      <c r="C8" s="108"/>
      <c r="D8" s="108"/>
      <c r="E8" s="15">
        <v>2006</v>
      </c>
      <c r="G8" s="9">
        <v>2005</v>
      </c>
      <c r="H8" s="10"/>
    </row>
    <row r="9" spans="1:8" ht="15" customHeight="1">
      <c r="A9" s="108"/>
      <c r="B9" s="111" t="s">
        <v>61</v>
      </c>
      <c r="C9" s="108"/>
      <c r="D9" s="108"/>
      <c r="E9" s="492" t="s">
        <v>832</v>
      </c>
      <c r="F9" s="492"/>
      <c r="G9" s="492"/>
      <c r="H9" s="10"/>
    </row>
    <row r="10" spans="1:8" ht="5.25" customHeight="1">
      <c r="A10" s="108"/>
      <c r="B10" s="108"/>
      <c r="C10" s="108"/>
      <c r="D10" s="108"/>
      <c r="E10" s="108"/>
      <c r="F10" s="108"/>
      <c r="G10" s="108"/>
      <c r="H10" s="10"/>
    </row>
    <row r="11" spans="1:8" ht="15" customHeight="1">
      <c r="A11" s="108"/>
      <c r="B11" s="5" t="s">
        <v>649</v>
      </c>
      <c r="E11" s="108"/>
      <c r="F11" s="108"/>
      <c r="G11" s="108"/>
      <c r="H11" s="10"/>
    </row>
    <row r="12" spans="1:8" ht="9.75" customHeight="1">
      <c r="A12" s="108"/>
      <c r="B12" s="108"/>
      <c r="E12" s="108"/>
      <c r="F12" s="108"/>
      <c r="G12" s="108"/>
      <c r="H12" s="10"/>
    </row>
    <row r="13" spans="1:8" ht="15" customHeight="1">
      <c r="A13" s="108"/>
      <c r="B13" s="20" t="s">
        <v>845</v>
      </c>
      <c r="D13" s="40" t="s">
        <v>348</v>
      </c>
      <c r="E13" s="145">
        <f>-('[1]BS Breakup'!$F$375+'[1]BS Breakup'!$F$381)/1000</f>
        <v>3943563.9211800005</v>
      </c>
      <c r="F13" s="38"/>
      <c r="G13" s="424">
        <v>7814222</v>
      </c>
      <c r="H13" s="10"/>
    </row>
    <row r="14" spans="1:8" ht="15" customHeight="1">
      <c r="A14" s="108"/>
      <c r="B14" s="20" t="s">
        <v>846</v>
      </c>
      <c r="D14" s="40"/>
      <c r="E14" s="266">
        <f>-'[1]BS Breakup'!$F$380/1000</f>
        <v>85922647.104</v>
      </c>
      <c r="F14" s="38"/>
      <c r="G14" s="422">
        <v>88839730</v>
      </c>
      <c r="H14" s="10"/>
    </row>
    <row r="15" spans="1:8" ht="15" customHeight="1">
      <c r="A15" s="108"/>
      <c r="B15" s="108"/>
      <c r="C15" s="20"/>
      <c r="E15" s="142">
        <f>SUM(E13:E14)</f>
        <v>89866211.02518</v>
      </c>
      <c r="F15" s="34"/>
      <c r="G15" s="61">
        <f>SUM(G13:G14)</f>
        <v>96653952</v>
      </c>
      <c r="H15" s="10"/>
    </row>
    <row r="16" spans="1:8" ht="9.75" customHeight="1">
      <c r="A16" s="108"/>
      <c r="B16" s="108"/>
      <c r="C16" s="20"/>
      <c r="E16" s="142"/>
      <c r="F16" s="34"/>
      <c r="G16" s="61"/>
      <c r="H16" s="10"/>
    </row>
    <row r="17" spans="1:7" ht="15" customHeight="1">
      <c r="A17" s="94"/>
      <c r="B17" s="5" t="s">
        <v>336</v>
      </c>
      <c r="E17" s="142">
        <f>-'[1]BS Breakup'!$F$379/1000</f>
        <v>29.24186</v>
      </c>
      <c r="F17" s="34"/>
      <c r="G17" s="61">
        <v>29</v>
      </c>
    </row>
    <row r="18" spans="1:7" ht="15" customHeight="1" thickBot="1">
      <c r="A18" s="94"/>
      <c r="B18" s="94"/>
      <c r="C18" s="94"/>
      <c r="E18" s="264">
        <f>SUM(E15:E17)</f>
        <v>89866240.26704</v>
      </c>
      <c r="F18" s="34"/>
      <c r="G18" s="425">
        <f>SUM(G15:G17)</f>
        <v>96653981</v>
      </c>
    </row>
    <row r="19" spans="1:7" ht="9.75" customHeight="1" thickTop="1">
      <c r="A19" s="94"/>
      <c r="B19" s="94"/>
      <c r="C19" s="94"/>
      <c r="D19" s="94"/>
      <c r="E19" s="94"/>
      <c r="F19" s="94"/>
      <c r="G19" s="94"/>
    </row>
    <row r="20" spans="1:7" ht="15" customHeight="1">
      <c r="A20" s="106" t="s">
        <v>348</v>
      </c>
      <c r="B20" s="66" t="s">
        <v>593</v>
      </c>
      <c r="C20" s="94"/>
      <c r="D20" s="94"/>
      <c r="E20" s="94"/>
      <c r="F20" s="94"/>
      <c r="G20" s="94"/>
    </row>
    <row r="21" spans="1:7" ht="9.75" customHeight="1">
      <c r="A21" s="94"/>
      <c r="B21" s="94"/>
      <c r="C21" s="94"/>
      <c r="D21" s="94"/>
      <c r="E21" s="94"/>
      <c r="F21" s="94"/>
      <c r="G21" s="94"/>
    </row>
    <row r="22" spans="1:7" ht="15" customHeight="1">
      <c r="A22" s="112" t="s">
        <v>310</v>
      </c>
      <c r="B22" s="66" t="s">
        <v>730</v>
      </c>
      <c r="C22" s="66"/>
      <c r="D22" s="94"/>
      <c r="E22" s="15">
        <v>2006</v>
      </c>
      <c r="G22" s="9">
        <v>2005</v>
      </c>
    </row>
    <row r="23" spans="1:7" ht="15" customHeight="1">
      <c r="A23" s="112"/>
      <c r="B23" s="66"/>
      <c r="C23" s="66"/>
      <c r="D23" s="94"/>
      <c r="E23" s="66"/>
      <c r="F23" s="80" t="s">
        <v>696</v>
      </c>
      <c r="G23" s="66"/>
    </row>
    <row r="24" spans="1:7" ht="7.5" customHeight="1">
      <c r="A24" s="112"/>
      <c r="B24" s="66"/>
      <c r="C24" s="66"/>
      <c r="D24" s="94"/>
      <c r="E24" s="66"/>
      <c r="F24" s="66"/>
      <c r="G24" s="66"/>
    </row>
    <row r="25" spans="1:7" ht="15" customHeight="1">
      <c r="A25" s="112"/>
      <c r="B25" s="66" t="s">
        <v>731</v>
      </c>
      <c r="C25" s="66"/>
      <c r="D25" s="94"/>
      <c r="E25" s="80" t="s">
        <v>634</v>
      </c>
      <c r="F25" s="77"/>
      <c r="G25" s="77" t="s">
        <v>733</v>
      </c>
    </row>
    <row r="26" spans="1:7" ht="15" customHeight="1">
      <c r="A26" s="112"/>
      <c r="B26" s="66" t="s">
        <v>732</v>
      </c>
      <c r="C26" s="66"/>
      <c r="D26" s="94"/>
      <c r="E26" s="80">
        <v>0.5</v>
      </c>
      <c r="F26" s="77"/>
      <c r="G26" s="77">
        <v>0.5</v>
      </c>
    </row>
    <row r="27" spans="1:7" ht="9.75" customHeight="1">
      <c r="A27" s="94"/>
      <c r="B27" s="94"/>
      <c r="C27" s="94"/>
      <c r="D27" s="94"/>
      <c r="E27" s="94"/>
      <c r="F27" s="94"/>
      <c r="G27" s="94"/>
    </row>
    <row r="28" spans="1:7" ht="15" customHeight="1">
      <c r="A28" s="67" t="s">
        <v>666</v>
      </c>
      <c r="B28" s="6" t="s">
        <v>192</v>
      </c>
      <c r="C28" s="94"/>
      <c r="D28" s="94"/>
      <c r="E28" s="13" t="s">
        <v>586</v>
      </c>
      <c r="F28" s="9"/>
      <c r="G28" s="50" t="s">
        <v>33</v>
      </c>
    </row>
    <row r="29" spans="1:6" ht="15" customHeight="1">
      <c r="A29" s="67"/>
      <c r="B29" s="6"/>
      <c r="C29" s="94"/>
      <c r="D29" s="94"/>
      <c r="F29" s="15" t="s">
        <v>832</v>
      </c>
    </row>
    <row r="30" spans="2:7" ht="15" customHeight="1">
      <c r="B30" s="6" t="s">
        <v>935</v>
      </c>
      <c r="C30" s="94"/>
      <c r="D30" s="94"/>
      <c r="E30" s="101"/>
      <c r="F30" s="94"/>
      <c r="G30" s="94"/>
    </row>
    <row r="31" spans="2:7" ht="9.75" customHeight="1">
      <c r="B31" s="6"/>
      <c r="C31" s="94"/>
      <c r="D31" s="94"/>
      <c r="F31" s="15"/>
      <c r="G31" s="15"/>
    </row>
    <row r="32" spans="2:7" ht="15" customHeight="1">
      <c r="B32" s="75" t="s">
        <v>547</v>
      </c>
      <c r="C32" s="94"/>
      <c r="D32" s="94"/>
      <c r="E32" s="14"/>
      <c r="F32" s="25"/>
      <c r="G32" s="25"/>
    </row>
    <row r="33" spans="2:7" ht="15" customHeight="1">
      <c r="B33" s="75" t="s">
        <v>548</v>
      </c>
      <c r="C33" s="94"/>
      <c r="D33" s="40">
        <v>21.1</v>
      </c>
      <c r="E33" s="148">
        <f>-'[1]Balance sheet'!$H$45</f>
        <v>1806030</v>
      </c>
      <c r="F33" s="38"/>
      <c r="G33" s="4">
        <v>2685825</v>
      </c>
    </row>
    <row r="34" spans="2:7" ht="15" customHeight="1">
      <c r="B34" s="477" t="s">
        <v>342</v>
      </c>
      <c r="C34" s="477"/>
      <c r="D34" s="95"/>
      <c r="E34" s="148">
        <f>-'[1]Balance sheet'!$H$46</f>
        <v>720678.6913</v>
      </c>
      <c r="F34" s="38"/>
      <c r="G34" s="4">
        <v>463941</v>
      </c>
    </row>
    <row r="35" spans="2:7" ht="15" customHeight="1">
      <c r="B35" s="94" t="s">
        <v>343</v>
      </c>
      <c r="C35" s="94"/>
      <c r="E35" s="148">
        <f>-'[1]Balance sheet'!$H$47</f>
        <v>91194.88515</v>
      </c>
      <c r="F35" s="38"/>
      <c r="G35" s="4">
        <v>62372</v>
      </c>
    </row>
    <row r="36" spans="2:7" ht="15" customHeight="1">
      <c r="B36" s="5" t="s">
        <v>471</v>
      </c>
      <c r="C36" s="94"/>
      <c r="E36" s="231">
        <v>0</v>
      </c>
      <c r="F36" s="38"/>
      <c r="G36" s="52">
        <v>14557</v>
      </c>
    </row>
    <row r="37" spans="3:7" ht="15" customHeight="1">
      <c r="C37" s="94"/>
      <c r="D37" s="94"/>
      <c r="E37" s="56">
        <f>SUM(E33:E36)</f>
        <v>2617903.57645</v>
      </c>
      <c r="F37" s="34"/>
      <c r="G37" s="38">
        <f>SUM(G33:G36)</f>
        <v>3226695</v>
      </c>
    </row>
    <row r="38" spans="2:7" ht="15" customHeight="1">
      <c r="B38" s="6" t="s">
        <v>975</v>
      </c>
      <c r="C38" s="94"/>
      <c r="D38" s="94"/>
      <c r="E38" s="58"/>
      <c r="F38" s="7"/>
      <c r="G38" s="7"/>
    </row>
    <row r="39" spans="3:7" ht="9.75" customHeight="1">
      <c r="C39" s="94"/>
      <c r="D39" s="94"/>
      <c r="E39" s="58"/>
      <c r="F39" s="7"/>
      <c r="G39" s="7"/>
    </row>
    <row r="40" spans="2:10" ht="15" customHeight="1">
      <c r="B40" s="94" t="s">
        <v>57</v>
      </c>
      <c r="C40" s="94"/>
      <c r="D40" s="94"/>
      <c r="E40" s="141">
        <f>-'[1]Balance sheet'!$H$51</f>
        <v>3815707.29686</v>
      </c>
      <c r="F40" s="38"/>
      <c r="G40" s="469">
        <v>3512589</v>
      </c>
      <c r="H40" s="10"/>
      <c r="I40" s="148"/>
      <c r="J40" s="10"/>
    </row>
    <row r="41" spans="2:7" ht="15" customHeight="1">
      <c r="B41" s="477" t="s">
        <v>651</v>
      </c>
      <c r="C41" s="477"/>
      <c r="D41" s="94"/>
      <c r="E41" s="243">
        <f>-'[1]Balance sheet'!$H$52</f>
        <v>10769.035</v>
      </c>
      <c r="F41" s="38"/>
      <c r="G41" s="244">
        <v>12328</v>
      </c>
    </row>
    <row r="42" spans="2:7" ht="15" customHeight="1">
      <c r="B42" s="476" t="s">
        <v>652</v>
      </c>
      <c r="C42" s="476"/>
      <c r="D42" s="94"/>
      <c r="E42" s="243">
        <f>-'[1]Balance sheet'!$H$53</f>
        <v>641709</v>
      </c>
      <c r="F42" s="38"/>
      <c r="G42" s="244">
        <v>556497</v>
      </c>
    </row>
    <row r="43" spans="2:7" ht="15" customHeight="1">
      <c r="B43" s="66" t="s">
        <v>562</v>
      </c>
      <c r="C43" s="192"/>
      <c r="D43" s="94"/>
      <c r="E43" s="243"/>
      <c r="F43" s="38"/>
      <c r="G43" s="244"/>
    </row>
    <row r="44" spans="2:7" ht="15" customHeight="1">
      <c r="B44" s="66" t="s">
        <v>563</v>
      </c>
      <c r="C44" s="66"/>
      <c r="D44" s="100"/>
      <c r="E44" s="260">
        <f>-'[1]Balance sheet'!$H$54</f>
        <v>1292.2572600000005</v>
      </c>
      <c r="F44" s="66"/>
      <c r="G44" s="244">
        <v>5217</v>
      </c>
    </row>
    <row r="45" spans="2:7" ht="15" customHeight="1">
      <c r="B45" s="66" t="s">
        <v>680</v>
      </c>
      <c r="C45" s="66"/>
      <c r="D45" s="100"/>
      <c r="E45" s="260">
        <v>39091788</v>
      </c>
      <c r="F45" s="66"/>
      <c r="G45" s="244">
        <v>3935947</v>
      </c>
    </row>
    <row r="46" spans="2:7" ht="15" customHeight="1">
      <c r="B46" s="476" t="s">
        <v>681</v>
      </c>
      <c r="C46" s="476"/>
      <c r="D46" s="94"/>
      <c r="E46" s="243">
        <v>10000</v>
      </c>
      <c r="F46" s="38"/>
      <c r="G46" s="244">
        <v>10000</v>
      </c>
    </row>
    <row r="47" spans="2:7" ht="15" customHeight="1">
      <c r="B47" s="66" t="s">
        <v>557</v>
      </c>
      <c r="C47" s="66"/>
      <c r="D47" s="172"/>
      <c r="E47" s="243">
        <f>-'[1]Balance sheet'!$H$56</f>
        <v>2929066.28112</v>
      </c>
      <c r="F47" s="38"/>
      <c r="G47" s="244">
        <v>2929066</v>
      </c>
    </row>
    <row r="48" spans="2:7" ht="15" customHeight="1">
      <c r="B48" s="477" t="s">
        <v>482</v>
      </c>
      <c r="C48" s="477"/>
      <c r="D48" s="40" t="s">
        <v>311</v>
      </c>
      <c r="E48" s="243">
        <f>'NOTE 27.1 - 32'!L11</f>
        <v>4795760</v>
      </c>
      <c r="F48" s="38"/>
      <c r="G48" s="244">
        <v>4207554</v>
      </c>
    </row>
    <row r="49" spans="2:7" ht="15" customHeight="1">
      <c r="B49" s="5" t="s">
        <v>471</v>
      </c>
      <c r="D49" s="61"/>
      <c r="E49" s="256">
        <f>-'[1]Balance sheet'!$H$58</f>
        <v>4870566.40942</v>
      </c>
      <c r="F49" s="38"/>
      <c r="G49" s="273">
        <v>3077625</v>
      </c>
    </row>
    <row r="50" spans="1:7" ht="15" customHeight="1">
      <c r="A50" s="94"/>
      <c r="B50" s="94"/>
      <c r="C50" s="94"/>
      <c r="D50" s="107"/>
      <c r="E50" s="148">
        <f>SUM(E40:E49)-1</f>
        <v>56166657.27966</v>
      </c>
      <c r="F50" s="38"/>
      <c r="G50" s="428">
        <f>SUM(G40:G49)</f>
        <v>18246823</v>
      </c>
    </row>
    <row r="51" spans="1:7" ht="15" customHeight="1" thickBot="1">
      <c r="A51" s="94"/>
      <c r="B51" s="94"/>
      <c r="C51" s="94"/>
      <c r="D51" s="94"/>
      <c r="E51" s="264">
        <f>+E50+E37</f>
        <v>58784560.85611</v>
      </c>
      <c r="F51" s="9"/>
      <c r="G51" s="427">
        <f>+G50+G37</f>
        <v>21473518</v>
      </c>
    </row>
    <row r="52" spans="1:7" ht="15" customHeight="1" thickTop="1">
      <c r="A52" s="94"/>
      <c r="B52" s="94"/>
      <c r="C52" s="94"/>
      <c r="D52" s="94"/>
      <c r="E52" s="94"/>
      <c r="F52" s="94"/>
      <c r="G52" s="94"/>
    </row>
    <row r="53" spans="1:7" ht="15" customHeight="1">
      <c r="A53" s="94"/>
      <c r="B53" s="94"/>
      <c r="C53" s="94"/>
      <c r="D53" s="94"/>
      <c r="E53" s="94"/>
      <c r="F53" s="94"/>
      <c r="G53" s="94"/>
    </row>
    <row r="54" spans="1:7" ht="15" customHeight="1">
      <c r="A54" s="94"/>
      <c r="B54" s="94"/>
      <c r="C54" s="94"/>
      <c r="D54" s="94"/>
      <c r="E54" s="94"/>
      <c r="F54" s="94"/>
      <c r="G54" s="94"/>
    </row>
    <row r="55" spans="1:7" ht="15" customHeight="1">
      <c r="A55" s="94"/>
      <c r="B55" s="94"/>
      <c r="C55" s="94"/>
      <c r="D55" s="94"/>
      <c r="E55" s="94"/>
      <c r="F55" s="94"/>
      <c r="G55" s="94"/>
    </row>
    <row r="56" spans="1:7" ht="15" customHeight="1">
      <c r="A56" s="94"/>
      <c r="B56" s="94"/>
      <c r="C56" s="94"/>
      <c r="D56" s="94"/>
      <c r="E56" s="94"/>
      <c r="F56" s="94"/>
      <c r="G56" s="94"/>
    </row>
    <row r="57" spans="1:7" ht="15" customHeight="1">
      <c r="A57" s="94"/>
      <c r="B57" s="94"/>
      <c r="C57" s="94"/>
      <c r="D57" s="94"/>
      <c r="E57" s="94"/>
      <c r="F57" s="94"/>
      <c r="G57" s="94"/>
    </row>
    <row r="58" spans="1:7" ht="15" customHeight="1">
      <c r="A58" s="94"/>
      <c r="B58" s="94"/>
      <c r="C58" s="94"/>
      <c r="D58" s="94"/>
      <c r="E58" s="94"/>
      <c r="F58" s="94"/>
      <c r="G58" s="94"/>
    </row>
    <row r="59" spans="1:7" ht="15" customHeight="1">
      <c r="A59" s="94"/>
      <c r="B59" s="94"/>
      <c r="C59" s="94"/>
      <c r="D59" s="94"/>
      <c r="E59" s="94"/>
      <c r="F59" s="94"/>
      <c r="G59" s="94"/>
    </row>
    <row r="60" spans="1:7" ht="15" customHeight="1">
      <c r="A60" s="94"/>
      <c r="B60" s="94"/>
      <c r="C60" s="94"/>
      <c r="D60" s="94"/>
      <c r="E60" s="94"/>
      <c r="F60" s="94"/>
      <c r="G60" s="94"/>
    </row>
    <row r="61" spans="1:7" ht="15" customHeight="1">
      <c r="A61" s="94"/>
      <c r="B61" s="94"/>
      <c r="C61" s="94"/>
      <c r="D61" s="94"/>
      <c r="E61" s="94"/>
      <c r="F61" s="94"/>
      <c r="G61" s="94"/>
    </row>
    <row r="62" spans="1:7" ht="15" customHeight="1">
      <c r="A62" s="94"/>
      <c r="B62" s="94"/>
      <c r="C62" s="94"/>
      <c r="D62" s="94"/>
      <c r="E62" s="94"/>
      <c r="F62" s="94"/>
      <c r="G62" s="94"/>
    </row>
    <row r="63" spans="1:7" ht="15" customHeight="1">
      <c r="A63" s="94"/>
      <c r="B63" s="94"/>
      <c r="C63" s="94"/>
      <c r="D63" s="94"/>
      <c r="E63" s="94"/>
      <c r="F63" s="94"/>
      <c r="G63" s="94"/>
    </row>
    <row r="64" spans="1:7" ht="15" customHeight="1">
      <c r="A64" s="94"/>
      <c r="B64" s="94"/>
      <c r="C64" s="94"/>
      <c r="D64" s="94"/>
      <c r="E64" s="94"/>
      <c r="F64" s="94"/>
      <c r="G64" s="94"/>
    </row>
    <row r="65" spans="1:7" ht="15" customHeight="1">
      <c r="A65" s="94"/>
      <c r="B65" s="94"/>
      <c r="C65" s="94"/>
      <c r="D65" s="94"/>
      <c r="E65" s="94"/>
      <c r="F65" s="94"/>
      <c r="G65" s="94"/>
    </row>
    <row r="66" spans="1:7" ht="15" customHeight="1">
      <c r="A66" s="94"/>
      <c r="B66" s="94"/>
      <c r="C66" s="94"/>
      <c r="D66" s="94"/>
      <c r="E66" s="94"/>
      <c r="F66" s="94"/>
      <c r="G66" s="94"/>
    </row>
    <row r="67" spans="1:7" ht="15" customHeight="1">
      <c r="A67" s="94"/>
      <c r="B67" s="94"/>
      <c r="C67" s="94"/>
      <c r="D67" s="94"/>
      <c r="E67" s="94"/>
      <c r="F67" s="94"/>
      <c r="G67" s="94"/>
    </row>
    <row r="68" spans="1:7" ht="15" customHeight="1">
      <c r="A68" s="94"/>
      <c r="B68" s="94"/>
      <c r="C68" s="94"/>
      <c r="D68" s="94"/>
      <c r="E68" s="94"/>
      <c r="F68" s="94"/>
      <c r="G68" s="94"/>
    </row>
    <row r="69" spans="1:7" ht="15" customHeight="1">
      <c r="A69" s="94"/>
      <c r="B69" s="94"/>
      <c r="C69" s="94"/>
      <c r="D69" s="94"/>
      <c r="E69" s="94"/>
      <c r="F69" s="94"/>
      <c r="G69" s="94"/>
    </row>
    <row r="70" spans="1:7" ht="15" customHeight="1">
      <c r="A70" s="94"/>
      <c r="B70" s="94"/>
      <c r="C70" s="94"/>
      <c r="D70" s="94"/>
      <c r="E70" s="94"/>
      <c r="F70" s="94"/>
      <c r="G70" s="94"/>
    </row>
    <row r="71" spans="1:7" ht="15" customHeight="1">
      <c r="A71" s="94"/>
      <c r="B71" s="94"/>
      <c r="C71" s="94"/>
      <c r="D71" s="94"/>
      <c r="E71" s="94"/>
      <c r="F71" s="94"/>
      <c r="G71" s="94"/>
    </row>
    <row r="72" spans="1:7" ht="15" customHeight="1">
      <c r="A72" s="94"/>
      <c r="B72" s="94"/>
      <c r="C72" s="94"/>
      <c r="D72" s="94"/>
      <c r="E72" s="94"/>
      <c r="F72" s="94"/>
      <c r="G72" s="94"/>
    </row>
    <row r="73" spans="1:7" ht="15" customHeight="1">
      <c r="A73" s="94"/>
      <c r="B73" s="94"/>
      <c r="C73" s="94"/>
      <c r="D73" s="94"/>
      <c r="E73" s="94"/>
      <c r="F73" s="94"/>
      <c r="G73" s="94"/>
    </row>
    <row r="74" spans="1:7" ht="15" customHeight="1">
      <c r="A74" s="94"/>
      <c r="B74" s="94"/>
      <c r="C74" s="94"/>
      <c r="D74" s="94"/>
      <c r="E74" s="94"/>
      <c r="F74" s="94"/>
      <c r="G74" s="94"/>
    </row>
    <row r="75" spans="1:7" ht="15" customHeight="1">
      <c r="A75" s="94"/>
      <c r="B75" s="94"/>
      <c r="C75" s="94"/>
      <c r="D75" s="94"/>
      <c r="E75" s="94"/>
      <c r="F75" s="94"/>
      <c r="G75" s="94"/>
    </row>
    <row r="76" spans="1:7" ht="15" customHeight="1">
      <c r="A76" s="94"/>
      <c r="B76" s="94"/>
      <c r="C76" s="94"/>
      <c r="D76" s="94"/>
      <c r="E76" s="94"/>
      <c r="F76" s="94"/>
      <c r="G76" s="94"/>
    </row>
    <row r="77" spans="1:7" ht="15" customHeight="1">
      <c r="A77" s="94"/>
      <c r="B77" s="94"/>
      <c r="C77" s="94"/>
      <c r="D77" s="94"/>
      <c r="E77" s="94"/>
      <c r="F77" s="94"/>
      <c r="G77" s="94"/>
    </row>
    <row r="78" spans="1:7" ht="15" customHeight="1">
      <c r="A78" s="94"/>
      <c r="B78" s="94"/>
      <c r="C78" s="94"/>
      <c r="D78" s="94"/>
      <c r="E78" s="94"/>
      <c r="F78" s="94"/>
      <c r="G78" s="94"/>
    </row>
    <row r="79" spans="1:7" ht="15" customHeight="1">
      <c r="A79" s="94"/>
      <c r="B79" s="94"/>
      <c r="C79" s="94"/>
      <c r="D79" s="94"/>
      <c r="E79" s="94"/>
      <c r="F79" s="94"/>
      <c r="G79" s="94"/>
    </row>
    <row r="80" spans="1:7" ht="15" customHeight="1">
      <c r="A80" s="94"/>
      <c r="B80" s="94"/>
      <c r="C80" s="94"/>
      <c r="D80" s="94"/>
      <c r="E80" s="94"/>
      <c r="F80" s="94"/>
      <c r="G80" s="94"/>
    </row>
    <row r="81" spans="1:7" ht="15" customHeight="1">
      <c r="A81" s="94"/>
      <c r="B81" s="94"/>
      <c r="C81" s="94"/>
      <c r="D81" s="94"/>
      <c r="E81" s="94"/>
      <c r="F81" s="94"/>
      <c r="G81" s="94"/>
    </row>
    <row r="82" spans="1:7" ht="15" customHeight="1">
      <c r="A82" s="94"/>
      <c r="B82" s="94"/>
      <c r="C82" s="94"/>
      <c r="D82" s="94"/>
      <c r="E82" s="94"/>
      <c r="F82" s="94"/>
      <c r="G82" s="94"/>
    </row>
    <row r="83" spans="1:7" ht="15" customHeight="1">
      <c r="A83" s="94"/>
      <c r="B83" s="94"/>
      <c r="C83" s="94"/>
      <c r="D83" s="94"/>
      <c r="E83" s="94"/>
      <c r="F83" s="94"/>
      <c r="G83" s="94"/>
    </row>
    <row r="84" spans="1:7" ht="15" customHeight="1">
      <c r="A84" s="94"/>
      <c r="B84" s="94"/>
      <c r="C84" s="94"/>
      <c r="D84" s="94"/>
      <c r="E84" s="94"/>
      <c r="F84" s="94"/>
      <c r="G84" s="94"/>
    </row>
    <row r="85" spans="1:7" ht="15" customHeight="1">
      <c r="A85" s="94"/>
      <c r="B85" s="94"/>
      <c r="C85" s="94"/>
      <c r="D85" s="94"/>
      <c r="E85" s="94"/>
      <c r="F85" s="94"/>
      <c r="G85" s="94"/>
    </row>
    <row r="86" spans="1:7" ht="15" customHeight="1">
      <c r="A86" s="94"/>
      <c r="B86" s="94"/>
      <c r="C86" s="94"/>
      <c r="D86" s="94"/>
      <c r="E86" s="94"/>
      <c r="F86" s="94"/>
      <c r="G86" s="94"/>
    </row>
    <row r="87" spans="1:7" ht="15" customHeight="1">
      <c r="A87" s="94"/>
      <c r="B87" s="94"/>
      <c r="C87" s="94"/>
      <c r="D87" s="94"/>
      <c r="E87" s="94"/>
      <c r="F87" s="94"/>
      <c r="G87" s="94"/>
    </row>
    <row r="88" spans="1:7" ht="15" customHeight="1">
      <c r="A88" s="94"/>
      <c r="B88" s="94"/>
      <c r="C88" s="94"/>
      <c r="D88" s="94"/>
      <c r="E88" s="94"/>
      <c r="F88" s="94"/>
      <c r="G88" s="94"/>
    </row>
    <row r="89" spans="1:7" ht="15" customHeight="1">
      <c r="A89" s="94"/>
      <c r="B89" s="94"/>
      <c r="C89" s="94"/>
      <c r="D89" s="94"/>
      <c r="E89" s="94"/>
      <c r="F89" s="94"/>
      <c r="G89" s="94"/>
    </row>
    <row r="90" spans="1:7" ht="15" customHeight="1">
      <c r="A90" s="94"/>
      <c r="B90" s="94"/>
      <c r="C90" s="94"/>
      <c r="D90" s="94"/>
      <c r="E90" s="94"/>
      <c r="F90" s="94"/>
      <c r="G90" s="94"/>
    </row>
    <row r="91" spans="1:7" ht="15" customHeight="1">
      <c r="A91" s="94"/>
      <c r="B91" s="94"/>
      <c r="C91" s="94"/>
      <c r="D91" s="94"/>
      <c r="E91" s="94"/>
      <c r="F91" s="94"/>
      <c r="G91" s="94"/>
    </row>
    <row r="92" spans="1:7" ht="15" customHeight="1">
      <c r="A92" s="94"/>
      <c r="B92" s="94"/>
      <c r="C92" s="94"/>
      <c r="D92" s="94"/>
      <c r="E92" s="94"/>
      <c r="F92" s="94"/>
      <c r="G92" s="94"/>
    </row>
    <row r="93" spans="1:7" ht="15" customHeight="1">
      <c r="A93" s="94"/>
      <c r="B93" s="94"/>
      <c r="C93" s="94"/>
      <c r="D93" s="94"/>
      <c r="E93" s="94"/>
      <c r="F93" s="94"/>
      <c r="G93" s="94"/>
    </row>
    <row r="94" spans="1:7" ht="15" customHeight="1">
      <c r="A94" s="94"/>
      <c r="B94" s="94"/>
      <c r="C94" s="94"/>
      <c r="D94" s="94"/>
      <c r="E94" s="94"/>
      <c r="F94" s="94"/>
      <c r="G94" s="94"/>
    </row>
    <row r="95" spans="1:7" ht="15" customHeight="1">
      <c r="A95" s="94"/>
      <c r="B95" s="94"/>
      <c r="C95" s="94"/>
      <c r="D95" s="94"/>
      <c r="E95" s="94"/>
      <c r="F95" s="94"/>
      <c r="G95" s="94"/>
    </row>
    <row r="96" spans="1:7" ht="15" customHeight="1">
      <c r="A96" s="94"/>
      <c r="B96" s="94"/>
      <c r="C96" s="94"/>
      <c r="D96" s="94"/>
      <c r="E96" s="94"/>
      <c r="F96" s="94"/>
      <c r="G96" s="94"/>
    </row>
    <row r="97" spans="1:7" ht="15" customHeight="1">
      <c r="A97" s="94"/>
      <c r="B97" s="94"/>
      <c r="C97" s="94"/>
      <c r="D97" s="94"/>
      <c r="E97" s="94"/>
      <c r="F97" s="94"/>
      <c r="G97" s="94"/>
    </row>
    <row r="98" spans="1:7" ht="15" customHeight="1">
      <c r="A98" s="94"/>
      <c r="B98" s="94"/>
      <c r="C98" s="94"/>
      <c r="D98" s="94"/>
      <c r="E98" s="94"/>
      <c r="F98" s="94"/>
      <c r="G98" s="94"/>
    </row>
    <row r="99" spans="1:7" ht="15" customHeight="1">
      <c r="A99" s="94"/>
      <c r="B99" s="94"/>
      <c r="C99" s="94"/>
      <c r="D99" s="94"/>
      <c r="E99" s="94"/>
      <c r="F99" s="94"/>
      <c r="G99" s="94"/>
    </row>
    <row r="100" spans="1:7" ht="15" customHeight="1">
      <c r="A100" s="94"/>
      <c r="B100" s="94"/>
      <c r="C100" s="94"/>
      <c r="D100" s="94"/>
      <c r="E100" s="94"/>
      <c r="F100" s="94"/>
      <c r="G100" s="94"/>
    </row>
    <row r="101" spans="1:7" ht="15" customHeight="1">
      <c r="A101" s="94"/>
      <c r="B101" s="94"/>
      <c r="C101" s="94"/>
      <c r="D101" s="94"/>
      <c r="E101" s="94"/>
      <c r="F101" s="94"/>
      <c r="G101" s="94"/>
    </row>
    <row r="102" spans="1:7" ht="15" customHeight="1">
      <c r="A102" s="94"/>
      <c r="B102" s="94"/>
      <c r="C102" s="94"/>
      <c r="D102" s="94"/>
      <c r="E102" s="94"/>
      <c r="F102" s="94"/>
      <c r="G102" s="94"/>
    </row>
    <row r="103" spans="1:7" ht="15" customHeight="1">
      <c r="A103" s="94"/>
      <c r="B103" s="94"/>
      <c r="C103" s="94"/>
      <c r="D103" s="94"/>
      <c r="E103" s="94"/>
      <c r="F103" s="94"/>
      <c r="G103" s="94"/>
    </row>
    <row r="104" spans="1:7" ht="15" customHeight="1">
      <c r="A104" s="94"/>
      <c r="B104" s="94"/>
      <c r="C104" s="94"/>
      <c r="D104" s="94"/>
      <c r="E104" s="94"/>
      <c r="F104" s="94"/>
      <c r="G104" s="94"/>
    </row>
    <row r="105" spans="1:7" ht="15" customHeight="1">
      <c r="A105" s="94"/>
      <c r="B105" s="94"/>
      <c r="C105" s="94"/>
      <c r="D105" s="94"/>
      <c r="E105" s="94"/>
      <c r="F105" s="94"/>
      <c r="G105" s="94"/>
    </row>
    <row r="106" spans="1:7" ht="15" customHeight="1">
      <c r="A106" s="94"/>
      <c r="B106" s="94"/>
      <c r="C106" s="94"/>
      <c r="D106" s="94"/>
      <c r="E106" s="94"/>
      <c r="F106" s="94"/>
      <c r="G106" s="94"/>
    </row>
    <row r="107" spans="1:7" ht="15" customHeight="1">
      <c r="A107" s="94"/>
      <c r="B107" s="94"/>
      <c r="C107" s="94"/>
      <c r="D107" s="94"/>
      <c r="E107" s="94"/>
      <c r="F107" s="94"/>
      <c r="G107" s="94"/>
    </row>
    <row r="108" spans="1:7" ht="15" customHeight="1">
      <c r="A108" s="94"/>
      <c r="B108" s="94"/>
      <c r="C108" s="94"/>
      <c r="D108" s="94"/>
      <c r="E108" s="94"/>
      <c r="F108" s="94"/>
      <c r="G108" s="94"/>
    </row>
    <row r="109" spans="1:7" ht="15" customHeight="1">
      <c r="A109" s="94"/>
      <c r="B109" s="94"/>
      <c r="C109" s="94"/>
      <c r="D109" s="94"/>
      <c r="E109" s="94"/>
      <c r="F109" s="94"/>
      <c r="G109" s="94"/>
    </row>
    <row r="110" spans="1:7" ht="15" customHeight="1">
      <c r="A110" s="94"/>
      <c r="B110" s="94"/>
      <c r="C110" s="94"/>
      <c r="D110" s="94"/>
      <c r="E110" s="94"/>
      <c r="F110" s="94"/>
      <c r="G110" s="94"/>
    </row>
    <row r="111" spans="1:7" ht="15" customHeight="1">
      <c r="A111" s="94"/>
      <c r="B111" s="94"/>
      <c r="C111" s="94"/>
      <c r="D111" s="94"/>
      <c r="E111" s="94"/>
      <c r="F111" s="94"/>
      <c r="G111" s="94"/>
    </row>
    <row r="112" spans="1:7" ht="15" customHeight="1">
      <c r="A112" s="94"/>
      <c r="B112" s="94"/>
      <c r="C112" s="94"/>
      <c r="D112" s="94"/>
      <c r="E112" s="94"/>
      <c r="F112" s="94"/>
      <c r="G112" s="94"/>
    </row>
    <row r="113" spans="1:7" ht="15" customHeight="1">
      <c r="A113" s="94"/>
      <c r="B113" s="94"/>
      <c r="C113" s="94"/>
      <c r="D113" s="94"/>
      <c r="E113" s="94"/>
      <c r="F113" s="94"/>
      <c r="G113" s="94"/>
    </row>
    <row r="114" spans="1:7" ht="15" customHeight="1">
      <c r="A114" s="94"/>
      <c r="B114" s="94"/>
      <c r="C114" s="94"/>
      <c r="D114" s="94"/>
      <c r="E114" s="94"/>
      <c r="F114" s="94"/>
      <c r="G114" s="94"/>
    </row>
    <row r="115" spans="1:7" ht="15" customHeight="1">
      <c r="A115" s="94"/>
      <c r="B115" s="94"/>
      <c r="C115" s="94"/>
      <c r="D115" s="94"/>
      <c r="E115" s="94"/>
      <c r="F115" s="94"/>
      <c r="G115" s="94"/>
    </row>
    <row r="116" spans="1:7" ht="15" customHeight="1">
      <c r="A116" s="94"/>
      <c r="B116" s="94"/>
      <c r="C116" s="94"/>
      <c r="D116" s="94"/>
      <c r="E116" s="94"/>
      <c r="F116" s="94"/>
      <c r="G116" s="94"/>
    </row>
    <row r="117" spans="1:7" ht="15" customHeight="1">
      <c r="A117" s="94"/>
      <c r="B117" s="94"/>
      <c r="C117" s="94"/>
      <c r="D117" s="94"/>
      <c r="E117" s="94"/>
      <c r="F117" s="94"/>
      <c r="G117" s="94"/>
    </row>
    <row r="118" spans="1:7" ht="15" customHeight="1">
      <c r="A118" s="94"/>
      <c r="B118" s="94"/>
      <c r="C118" s="94"/>
      <c r="D118" s="94"/>
      <c r="E118" s="94"/>
      <c r="F118" s="94"/>
      <c r="G118" s="94"/>
    </row>
    <row r="119" spans="1:7" ht="15" customHeight="1">
      <c r="A119" s="94"/>
      <c r="B119" s="94"/>
      <c r="C119" s="94"/>
      <c r="D119" s="94"/>
      <c r="E119" s="94"/>
      <c r="F119" s="94"/>
      <c r="G119" s="94"/>
    </row>
    <row r="120" spans="1:7" ht="15" customHeight="1">
      <c r="A120" s="94"/>
      <c r="B120" s="94"/>
      <c r="C120" s="94"/>
      <c r="D120" s="94"/>
      <c r="E120" s="94"/>
      <c r="F120" s="94"/>
      <c r="G120" s="94"/>
    </row>
    <row r="121" spans="1:7" ht="15" customHeight="1">
      <c r="A121" s="94"/>
      <c r="B121" s="94"/>
      <c r="C121" s="94"/>
      <c r="D121" s="94"/>
      <c r="E121" s="94"/>
      <c r="F121" s="94"/>
      <c r="G121" s="94"/>
    </row>
    <row r="122" spans="1:7" ht="15" customHeight="1">
      <c r="A122" s="94"/>
      <c r="B122" s="94"/>
      <c r="C122" s="94"/>
      <c r="D122" s="94"/>
      <c r="E122" s="94"/>
      <c r="F122" s="94"/>
      <c r="G122" s="94"/>
    </row>
    <row r="123" spans="1:7" ht="15" customHeight="1">
      <c r="A123" s="94"/>
      <c r="B123" s="94"/>
      <c r="C123" s="94"/>
      <c r="D123" s="94"/>
      <c r="E123" s="94"/>
      <c r="F123" s="94"/>
      <c r="G123" s="94"/>
    </row>
    <row r="124" spans="1:7" ht="15" customHeight="1">
      <c r="A124" s="94"/>
      <c r="B124" s="94"/>
      <c r="C124" s="94"/>
      <c r="D124" s="94"/>
      <c r="E124" s="94"/>
      <c r="F124" s="94"/>
      <c r="G124" s="94"/>
    </row>
    <row r="125" spans="1:7" ht="15" customHeight="1">
      <c r="A125" s="94"/>
      <c r="B125" s="94"/>
      <c r="C125" s="94"/>
      <c r="D125" s="94"/>
      <c r="E125" s="94"/>
      <c r="F125" s="94"/>
      <c r="G125" s="94"/>
    </row>
    <row r="126" spans="1:7" ht="15" customHeight="1">
      <c r="A126" s="94"/>
      <c r="B126" s="94"/>
      <c r="C126" s="94"/>
      <c r="D126" s="94"/>
      <c r="E126" s="94"/>
      <c r="F126" s="94"/>
      <c r="G126" s="94"/>
    </row>
    <row r="127" spans="1:7" ht="15" customHeight="1">
      <c r="A127" s="94"/>
      <c r="B127" s="94"/>
      <c r="C127" s="94"/>
      <c r="D127" s="94"/>
      <c r="E127" s="94"/>
      <c r="F127" s="94"/>
      <c r="G127" s="94"/>
    </row>
    <row r="128" spans="1:7" ht="15" customHeight="1">
      <c r="A128" s="94"/>
      <c r="B128" s="94"/>
      <c r="C128" s="94"/>
      <c r="D128" s="94"/>
      <c r="E128" s="94"/>
      <c r="F128" s="94"/>
      <c r="G128" s="94"/>
    </row>
    <row r="129" spans="1:7" ht="15" customHeight="1">
      <c r="A129" s="94"/>
      <c r="B129" s="94"/>
      <c r="C129" s="94"/>
      <c r="D129" s="94"/>
      <c r="E129" s="94"/>
      <c r="F129" s="94"/>
      <c r="G129" s="94"/>
    </row>
    <row r="130" spans="1:7" ht="15" customHeight="1">
      <c r="A130" s="94"/>
      <c r="B130" s="94"/>
      <c r="C130" s="94"/>
      <c r="D130" s="94"/>
      <c r="E130" s="94"/>
      <c r="F130" s="94"/>
      <c r="G130" s="94"/>
    </row>
    <row r="131" spans="1:7" ht="15" customHeight="1">
      <c r="A131" s="94"/>
      <c r="B131" s="94"/>
      <c r="C131" s="94"/>
      <c r="D131" s="94"/>
      <c r="E131" s="94"/>
      <c r="F131" s="94"/>
      <c r="G131" s="94"/>
    </row>
    <row r="132" spans="1:7" ht="15" customHeight="1">
      <c r="A132" s="94"/>
      <c r="B132" s="94"/>
      <c r="C132" s="94"/>
      <c r="D132" s="94"/>
      <c r="E132" s="94"/>
      <c r="F132" s="94"/>
      <c r="G132" s="94"/>
    </row>
    <row r="133" spans="1:7" ht="15" customHeight="1">
      <c r="A133" s="94"/>
      <c r="B133" s="94"/>
      <c r="C133" s="94"/>
      <c r="D133" s="94"/>
      <c r="E133" s="94"/>
      <c r="F133" s="94"/>
      <c r="G133" s="94"/>
    </row>
    <row r="134" spans="1:7" ht="15" customHeight="1">
      <c r="A134" s="94"/>
      <c r="B134" s="94"/>
      <c r="C134" s="94"/>
      <c r="D134" s="94"/>
      <c r="E134" s="94"/>
      <c r="F134" s="94"/>
      <c r="G134" s="94"/>
    </row>
    <row r="135" spans="1:7" ht="15" customHeight="1">
      <c r="A135" s="94"/>
      <c r="B135" s="94"/>
      <c r="C135" s="94"/>
      <c r="D135" s="94"/>
      <c r="E135" s="94"/>
      <c r="F135" s="94"/>
      <c r="G135" s="94"/>
    </row>
    <row r="136" spans="1:7" ht="15" customHeight="1">
      <c r="A136" s="94"/>
      <c r="B136" s="94"/>
      <c r="C136" s="94"/>
      <c r="D136" s="94"/>
      <c r="E136" s="94"/>
      <c r="F136" s="94"/>
      <c r="G136" s="94"/>
    </row>
    <row r="137" spans="1:7" ht="15" customHeight="1">
      <c r="A137" s="94"/>
      <c r="B137" s="94"/>
      <c r="C137" s="94"/>
      <c r="D137" s="94"/>
      <c r="E137" s="94"/>
      <c r="F137" s="94"/>
      <c r="G137" s="94"/>
    </row>
    <row r="138" spans="1:7" ht="15" customHeight="1">
      <c r="A138" s="94"/>
      <c r="B138" s="94"/>
      <c r="C138" s="94"/>
      <c r="D138" s="94"/>
      <c r="E138" s="94"/>
      <c r="F138" s="94"/>
      <c r="G138" s="94"/>
    </row>
    <row r="139" spans="1:7" ht="15" customHeight="1">
      <c r="A139" s="94"/>
      <c r="B139" s="94"/>
      <c r="C139" s="94"/>
      <c r="D139" s="94"/>
      <c r="E139" s="94"/>
      <c r="F139" s="94"/>
      <c r="G139" s="94"/>
    </row>
    <row r="140" spans="1:7" ht="15" customHeight="1">
      <c r="A140" s="94"/>
      <c r="B140" s="94"/>
      <c r="C140" s="94"/>
      <c r="D140" s="94"/>
      <c r="E140" s="94"/>
      <c r="F140" s="94"/>
      <c r="G140" s="94"/>
    </row>
    <row r="141" spans="1:7" ht="15" customHeight="1">
      <c r="A141" s="94"/>
      <c r="B141" s="94"/>
      <c r="C141" s="94"/>
      <c r="D141" s="94"/>
      <c r="E141" s="94"/>
      <c r="F141" s="94"/>
      <c r="G141" s="94"/>
    </row>
    <row r="142" spans="1:7" ht="15" customHeight="1">
      <c r="A142" s="94"/>
      <c r="B142" s="94"/>
      <c r="C142" s="94"/>
      <c r="D142" s="94"/>
      <c r="E142" s="94"/>
      <c r="F142" s="94"/>
      <c r="G142" s="94"/>
    </row>
    <row r="143" spans="1:7" ht="15" customHeight="1">
      <c r="A143" s="94"/>
      <c r="B143" s="94"/>
      <c r="C143" s="94"/>
      <c r="D143" s="94"/>
      <c r="E143" s="94"/>
      <c r="F143" s="94"/>
      <c r="G143" s="94"/>
    </row>
    <row r="144" spans="1:7" ht="15" customHeight="1">
      <c r="A144" s="94"/>
      <c r="B144" s="94"/>
      <c r="C144" s="94"/>
      <c r="D144" s="94"/>
      <c r="E144" s="94"/>
      <c r="F144" s="94"/>
      <c r="G144" s="94"/>
    </row>
    <row r="145" spans="1:7" ht="15" customHeight="1">
      <c r="A145" s="94"/>
      <c r="B145" s="94"/>
      <c r="C145" s="94"/>
      <c r="D145" s="94"/>
      <c r="E145" s="94"/>
      <c r="F145" s="94"/>
      <c r="G145" s="94"/>
    </row>
    <row r="146" spans="1:7" ht="15" customHeight="1">
      <c r="A146" s="94"/>
      <c r="B146" s="94"/>
      <c r="C146" s="94"/>
      <c r="D146" s="94"/>
      <c r="E146" s="94"/>
      <c r="F146" s="94"/>
      <c r="G146" s="94"/>
    </row>
    <row r="147" spans="1:7" ht="15" customHeight="1">
      <c r="A147" s="94"/>
      <c r="B147" s="94"/>
      <c r="C147" s="94"/>
      <c r="D147" s="94"/>
      <c r="E147" s="94"/>
      <c r="F147" s="94"/>
      <c r="G147" s="94"/>
    </row>
    <row r="148" spans="1:7" ht="15" customHeight="1">
      <c r="A148" s="94"/>
      <c r="B148" s="94"/>
      <c r="C148" s="94"/>
      <c r="D148" s="94"/>
      <c r="E148" s="94"/>
      <c r="F148" s="94"/>
      <c r="G148" s="94"/>
    </row>
    <row r="149" spans="1:7" ht="15" customHeight="1">
      <c r="A149" s="94"/>
      <c r="B149" s="94"/>
      <c r="C149" s="94"/>
      <c r="D149" s="94"/>
      <c r="E149" s="94"/>
      <c r="F149" s="94"/>
      <c r="G149" s="94"/>
    </row>
    <row r="150" spans="1:7" ht="15" customHeight="1">
      <c r="A150" s="94"/>
      <c r="B150" s="94"/>
      <c r="C150" s="94"/>
      <c r="D150" s="94"/>
      <c r="E150" s="94"/>
      <c r="F150" s="94"/>
      <c r="G150" s="94"/>
    </row>
    <row r="151" spans="1:7" ht="15" customHeight="1">
      <c r="A151" s="94"/>
      <c r="B151" s="94"/>
      <c r="C151" s="94"/>
      <c r="D151" s="94"/>
      <c r="E151" s="94"/>
      <c r="F151" s="94"/>
      <c r="G151" s="94"/>
    </row>
    <row r="152" spans="1:7" ht="15" customHeight="1">
      <c r="A152" s="94"/>
      <c r="B152" s="94"/>
      <c r="C152" s="94"/>
      <c r="D152" s="94"/>
      <c r="E152" s="94"/>
      <c r="F152" s="94"/>
      <c r="G152" s="94"/>
    </row>
    <row r="153" spans="1:7" ht="15" customHeight="1">
      <c r="A153" s="94"/>
      <c r="B153" s="94"/>
      <c r="C153" s="94"/>
      <c r="D153" s="94"/>
      <c r="E153" s="94"/>
      <c r="F153" s="94"/>
      <c r="G153" s="94"/>
    </row>
    <row r="154" spans="1:7" ht="15" customHeight="1">
      <c r="A154" s="94"/>
      <c r="B154" s="94"/>
      <c r="C154" s="94"/>
      <c r="D154" s="94"/>
      <c r="E154" s="94"/>
      <c r="F154" s="94"/>
      <c r="G154" s="94"/>
    </row>
    <row r="155" spans="1:7" ht="15" customHeight="1">
      <c r="A155" s="94"/>
      <c r="B155" s="94"/>
      <c r="C155" s="94"/>
      <c r="D155" s="94"/>
      <c r="E155" s="94"/>
      <c r="F155" s="94"/>
      <c r="G155" s="94"/>
    </row>
    <row r="156" spans="1:7" ht="15" customHeight="1">
      <c r="A156" s="94"/>
      <c r="B156" s="94"/>
      <c r="C156" s="94"/>
      <c r="D156" s="94"/>
      <c r="E156" s="94"/>
      <c r="F156" s="94"/>
      <c r="G156" s="94"/>
    </row>
    <row r="157" spans="1:7" ht="15" customHeight="1">
      <c r="A157" s="94"/>
      <c r="B157" s="94"/>
      <c r="C157" s="94"/>
      <c r="D157" s="94"/>
      <c r="E157" s="94"/>
      <c r="F157" s="94"/>
      <c r="G157" s="94"/>
    </row>
    <row r="158" spans="1:7" ht="15" customHeight="1">
      <c r="A158" s="94"/>
      <c r="B158" s="94"/>
      <c r="C158" s="94"/>
      <c r="D158" s="94"/>
      <c r="E158" s="94"/>
      <c r="F158" s="94"/>
      <c r="G158" s="94"/>
    </row>
    <row r="159" spans="1:7" ht="15" customHeight="1">
      <c r="A159" s="94"/>
      <c r="B159" s="94"/>
      <c r="C159" s="94"/>
      <c r="D159" s="94"/>
      <c r="E159" s="94"/>
      <c r="F159" s="94"/>
      <c r="G159" s="94"/>
    </row>
    <row r="160" spans="1:7" ht="15" customHeight="1">
      <c r="A160" s="94"/>
      <c r="B160" s="94"/>
      <c r="C160" s="94"/>
      <c r="D160" s="94"/>
      <c r="E160" s="94"/>
      <c r="F160" s="94"/>
      <c r="G160" s="94"/>
    </row>
    <row r="161" spans="1:7" ht="15" customHeight="1">
      <c r="A161" s="94"/>
      <c r="B161" s="94"/>
      <c r="C161" s="94"/>
      <c r="D161" s="94"/>
      <c r="E161" s="94"/>
      <c r="F161" s="94"/>
      <c r="G161" s="94"/>
    </row>
    <row r="162" spans="1:7" ht="15" customHeight="1">
      <c r="A162" s="94"/>
      <c r="B162" s="94"/>
      <c r="C162" s="94"/>
      <c r="D162" s="94"/>
      <c r="E162" s="94"/>
      <c r="F162" s="94"/>
      <c r="G162" s="94"/>
    </row>
    <row r="163" spans="1:7" ht="15" customHeight="1">
      <c r="A163" s="94"/>
      <c r="B163" s="94"/>
      <c r="C163" s="94"/>
      <c r="D163" s="94"/>
      <c r="E163" s="94"/>
      <c r="F163" s="94"/>
      <c r="G163" s="94"/>
    </row>
    <row r="164" spans="1:7" ht="15" customHeight="1">
      <c r="A164" s="94"/>
      <c r="B164" s="94"/>
      <c r="C164" s="94"/>
      <c r="D164" s="94"/>
      <c r="E164" s="94"/>
      <c r="F164" s="94"/>
      <c r="G164" s="94"/>
    </row>
    <row r="165" spans="1:7" ht="15" customHeight="1">
      <c r="A165" s="94"/>
      <c r="B165" s="94"/>
      <c r="C165" s="94"/>
      <c r="D165" s="94"/>
      <c r="E165" s="94"/>
      <c r="F165" s="94"/>
      <c r="G165" s="94"/>
    </row>
    <row r="166" spans="1:7" ht="15" customHeight="1">
      <c r="A166" s="94"/>
      <c r="B166" s="94"/>
      <c r="C166" s="94"/>
      <c r="D166" s="94"/>
      <c r="E166" s="94"/>
      <c r="F166" s="94"/>
      <c r="G166" s="94"/>
    </row>
    <row r="167" spans="1:7" ht="15" customHeight="1">
      <c r="A167" s="94"/>
      <c r="B167" s="94"/>
      <c r="C167" s="94"/>
      <c r="D167" s="94"/>
      <c r="E167" s="94"/>
      <c r="F167" s="94"/>
      <c r="G167" s="94"/>
    </row>
    <row r="168" spans="1:7" ht="15" customHeight="1">
      <c r="A168" s="94"/>
      <c r="B168" s="94"/>
      <c r="C168" s="94"/>
      <c r="D168" s="94"/>
      <c r="E168" s="94"/>
      <c r="F168" s="94"/>
      <c r="G168" s="94"/>
    </row>
    <row r="169" spans="1:7" ht="15" customHeight="1">
      <c r="A169" s="94"/>
      <c r="B169" s="94"/>
      <c r="C169" s="94"/>
      <c r="D169" s="94"/>
      <c r="E169" s="94"/>
      <c r="F169" s="94"/>
      <c r="G169" s="94"/>
    </row>
    <row r="170" spans="1:7" ht="15" customHeight="1">
      <c r="A170" s="94"/>
      <c r="B170" s="94"/>
      <c r="C170" s="94"/>
      <c r="D170" s="94"/>
      <c r="E170" s="94"/>
      <c r="F170" s="94"/>
      <c r="G170" s="94"/>
    </row>
    <row r="171" spans="1:7" ht="15" customHeight="1">
      <c r="A171" s="94"/>
      <c r="B171" s="94"/>
      <c r="C171" s="94"/>
      <c r="D171" s="94"/>
      <c r="E171" s="94"/>
      <c r="F171" s="94"/>
      <c r="G171" s="94"/>
    </row>
    <row r="172" spans="1:7" ht="15" customHeight="1">
      <c r="A172" s="94"/>
      <c r="B172" s="94"/>
      <c r="C172" s="94"/>
      <c r="D172" s="94"/>
      <c r="E172" s="94"/>
      <c r="F172" s="94"/>
      <c r="G172" s="94"/>
    </row>
    <row r="173" spans="1:7" ht="15" customHeight="1">
      <c r="A173" s="94"/>
      <c r="B173" s="94"/>
      <c r="C173" s="94"/>
      <c r="D173" s="94"/>
      <c r="E173" s="94"/>
      <c r="F173" s="94"/>
      <c r="G173" s="94"/>
    </row>
    <row r="174" spans="1:7" ht="15" customHeight="1">
      <c r="A174" s="94"/>
      <c r="B174" s="94"/>
      <c r="C174" s="94"/>
      <c r="D174" s="94"/>
      <c r="E174" s="94"/>
      <c r="F174" s="94"/>
      <c r="G174" s="94"/>
    </row>
    <row r="175" spans="1:7" ht="15" customHeight="1">
      <c r="A175" s="94"/>
      <c r="B175" s="94"/>
      <c r="C175" s="94"/>
      <c r="D175" s="94"/>
      <c r="E175" s="94"/>
      <c r="F175" s="94"/>
      <c r="G175" s="94"/>
    </row>
    <row r="176" spans="1:7" ht="15" customHeight="1">
      <c r="A176" s="94"/>
      <c r="B176" s="94"/>
      <c r="C176" s="94"/>
      <c r="D176" s="94"/>
      <c r="E176" s="94"/>
      <c r="F176" s="94"/>
      <c r="G176" s="94"/>
    </row>
    <row r="177" spans="1:7" ht="15" customHeight="1">
      <c r="A177" s="94"/>
      <c r="B177" s="94"/>
      <c r="C177" s="94"/>
      <c r="D177" s="94"/>
      <c r="E177" s="94"/>
      <c r="F177" s="94"/>
      <c r="G177" s="94"/>
    </row>
    <row r="178" spans="1:7" ht="15" customHeight="1">
      <c r="A178" s="94"/>
      <c r="B178" s="94"/>
      <c r="C178" s="94"/>
      <c r="D178" s="94"/>
      <c r="E178" s="94"/>
      <c r="F178" s="94"/>
      <c r="G178" s="94"/>
    </row>
    <row r="179" spans="1:7" ht="15" customHeight="1">
      <c r="A179" s="94"/>
      <c r="B179" s="94"/>
      <c r="C179" s="94"/>
      <c r="D179" s="94"/>
      <c r="E179" s="94"/>
      <c r="F179" s="94"/>
      <c r="G179" s="94"/>
    </row>
    <row r="180" spans="1:7" ht="15" customHeight="1">
      <c r="A180" s="94"/>
      <c r="B180" s="94"/>
      <c r="C180" s="94"/>
      <c r="D180" s="94"/>
      <c r="E180" s="94"/>
      <c r="F180" s="94"/>
      <c r="G180" s="94"/>
    </row>
    <row r="181" spans="1:7" ht="15" customHeight="1">
      <c r="A181" s="94"/>
      <c r="B181" s="94"/>
      <c r="C181" s="94"/>
      <c r="D181" s="94"/>
      <c r="E181" s="94"/>
      <c r="F181" s="94"/>
      <c r="G181" s="94"/>
    </row>
    <row r="182" spans="1:7" ht="15" customHeight="1">
      <c r="A182" s="94"/>
      <c r="B182" s="94"/>
      <c r="C182" s="94"/>
      <c r="D182" s="94"/>
      <c r="E182" s="94"/>
      <c r="F182" s="94"/>
      <c r="G182" s="94"/>
    </row>
    <row r="183" spans="1:7" ht="15" customHeight="1">
      <c r="A183" s="94"/>
      <c r="B183" s="94"/>
      <c r="C183" s="94"/>
      <c r="D183" s="94"/>
      <c r="E183" s="94"/>
      <c r="F183" s="94"/>
      <c r="G183" s="94"/>
    </row>
    <row r="184" spans="1:7" ht="15" customHeight="1">
      <c r="A184" s="94"/>
      <c r="B184" s="94"/>
      <c r="C184" s="94"/>
      <c r="D184" s="94"/>
      <c r="E184" s="94"/>
      <c r="F184" s="94"/>
      <c r="G184" s="94"/>
    </row>
    <row r="185" spans="1:7" ht="15" customHeight="1">
      <c r="A185" s="94"/>
      <c r="B185" s="94"/>
      <c r="C185" s="94"/>
      <c r="D185" s="94"/>
      <c r="E185" s="94"/>
      <c r="F185" s="94"/>
      <c r="G185" s="94"/>
    </row>
    <row r="186" spans="1:7" ht="15" customHeight="1">
      <c r="A186" s="94"/>
      <c r="B186" s="94"/>
      <c r="C186" s="94"/>
      <c r="D186" s="94"/>
      <c r="E186" s="94"/>
      <c r="F186" s="94"/>
      <c r="G186" s="94"/>
    </row>
    <row r="187" spans="1:7" ht="15" customHeight="1">
      <c r="A187" s="94"/>
      <c r="B187" s="94"/>
      <c r="C187" s="94"/>
      <c r="D187" s="94"/>
      <c r="E187" s="94"/>
      <c r="F187" s="94"/>
      <c r="G187" s="94"/>
    </row>
    <row r="188" spans="1:7" ht="15" customHeight="1">
      <c r="A188" s="94"/>
      <c r="B188" s="94"/>
      <c r="C188" s="94"/>
      <c r="D188" s="94"/>
      <c r="E188" s="94"/>
      <c r="F188" s="94"/>
      <c r="G188" s="94"/>
    </row>
    <row r="189" spans="1:7" ht="15" customHeight="1">
      <c r="A189" s="94"/>
      <c r="B189" s="94"/>
      <c r="C189" s="94"/>
      <c r="D189" s="94"/>
      <c r="E189" s="94"/>
      <c r="F189" s="94"/>
      <c r="G189" s="94"/>
    </row>
    <row r="190" spans="1:7" ht="15" customHeight="1">
      <c r="A190" s="94"/>
      <c r="B190" s="94"/>
      <c r="C190" s="94"/>
      <c r="D190" s="94"/>
      <c r="E190" s="94"/>
      <c r="F190" s="94"/>
      <c r="G190" s="94"/>
    </row>
    <row r="191" spans="1:7" ht="15" customHeight="1">
      <c r="A191" s="94"/>
      <c r="B191" s="94"/>
      <c r="C191" s="94"/>
      <c r="D191" s="94"/>
      <c r="E191" s="94"/>
      <c r="F191" s="94"/>
      <c r="G191" s="94"/>
    </row>
    <row r="192" spans="1:7" ht="15" customHeight="1">
      <c r="A192" s="94"/>
      <c r="B192" s="94"/>
      <c r="C192" s="94"/>
      <c r="D192" s="94"/>
      <c r="E192" s="94"/>
      <c r="F192" s="94"/>
      <c r="G192" s="94"/>
    </row>
    <row r="193" spans="1:7" ht="15" customHeight="1">
      <c r="A193" s="94"/>
      <c r="B193" s="94"/>
      <c r="C193" s="94"/>
      <c r="D193" s="94"/>
      <c r="E193" s="94"/>
      <c r="F193" s="94"/>
      <c r="G193" s="94"/>
    </row>
    <row r="194" spans="1:7" ht="15" customHeight="1">
      <c r="A194" s="94"/>
      <c r="B194" s="94"/>
      <c r="C194" s="94"/>
      <c r="D194" s="94"/>
      <c r="E194" s="94"/>
      <c r="F194" s="94"/>
      <c r="G194" s="94"/>
    </row>
    <row r="195" spans="1:7" ht="15" customHeight="1">
      <c r="A195" s="94"/>
      <c r="B195" s="94"/>
      <c r="C195" s="94"/>
      <c r="D195" s="94"/>
      <c r="E195" s="94"/>
      <c r="F195" s="94"/>
      <c r="G195" s="94"/>
    </row>
    <row r="196" spans="1:7" ht="15" customHeight="1">
      <c r="A196" s="94"/>
      <c r="B196" s="94"/>
      <c r="C196" s="94"/>
      <c r="D196" s="94"/>
      <c r="E196" s="94"/>
      <c r="F196" s="94"/>
      <c r="G196" s="94"/>
    </row>
    <row r="197" spans="1:7" ht="15" customHeight="1">
      <c r="A197" s="94"/>
      <c r="B197" s="94"/>
      <c r="C197" s="94"/>
      <c r="D197" s="94"/>
      <c r="E197" s="94"/>
      <c r="F197" s="94"/>
      <c r="G197" s="94"/>
    </row>
    <row r="198" spans="1:7" ht="15" customHeight="1">
      <c r="A198" s="94"/>
      <c r="B198" s="94"/>
      <c r="C198" s="94"/>
      <c r="D198" s="94"/>
      <c r="E198" s="94"/>
      <c r="F198" s="94"/>
      <c r="G198" s="94"/>
    </row>
    <row r="199" spans="1:7" ht="15" customHeight="1">
      <c r="A199" s="94"/>
      <c r="B199" s="94"/>
      <c r="C199" s="94"/>
      <c r="D199" s="94"/>
      <c r="E199" s="94"/>
      <c r="F199" s="94"/>
      <c r="G199" s="94"/>
    </row>
    <row r="200" spans="1:7" ht="15" customHeight="1">
      <c r="A200" s="94"/>
      <c r="B200" s="94"/>
      <c r="C200" s="94"/>
      <c r="D200" s="94"/>
      <c r="E200" s="94"/>
      <c r="F200" s="94"/>
      <c r="G200" s="94"/>
    </row>
    <row r="201" spans="1:7" ht="15" customHeight="1">
      <c r="A201" s="94"/>
      <c r="B201" s="94"/>
      <c r="C201" s="94"/>
      <c r="D201" s="94"/>
      <c r="E201" s="94"/>
      <c r="F201" s="94"/>
      <c r="G201" s="94"/>
    </row>
    <row r="202" spans="1:7" ht="15" customHeight="1">
      <c r="A202" s="94"/>
      <c r="B202" s="94"/>
      <c r="C202" s="94"/>
      <c r="D202" s="94"/>
      <c r="E202" s="94"/>
      <c r="F202" s="94"/>
      <c r="G202" s="94"/>
    </row>
    <row r="203" spans="1:7" ht="15" customHeight="1">
      <c r="A203" s="94"/>
      <c r="B203" s="94"/>
      <c r="C203" s="94"/>
      <c r="D203" s="94"/>
      <c r="E203" s="94"/>
      <c r="F203" s="94"/>
      <c r="G203" s="94"/>
    </row>
    <row r="204" spans="1:7" ht="15" customHeight="1">
      <c r="A204" s="94"/>
      <c r="B204" s="94"/>
      <c r="C204" s="94"/>
      <c r="D204" s="94"/>
      <c r="E204" s="94"/>
      <c r="F204" s="94"/>
      <c r="G204" s="94"/>
    </row>
    <row r="205" spans="1:7" ht="15" customHeight="1">
      <c r="A205" s="94"/>
      <c r="B205" s="94"/>
      <c r="C205" s="94"/>
      <c r="D205" s="94"/>
      <c r="E205" s="94"/>
      <c r="F205" s="94"/>
      <c r="G205" s="94"/>
    </row>
    <row r="206" spans="1:7" ht="15" customHeight="1">
      <c r="A206" s="94"/>
      <c r="B206" s="94"/>
      <c r="C206" s="94"/>
      <c r="D206" s="94"/>
      <c r="E206" s="94"/>
      <c r="F206" s="94"/>
      <c r="G206" s="94"/>
    </row>
    <row r="207" spans="1:7" ht="15" customHeight="1">
      <c r="A207" s="94"/>
      <c r="B207" s="94"/>
      <c r="C207" s="94"/>
      <c r="D207" s="94"/>
      <c r="E207" s="94"/>
      <c r="F207" s="94"/>
      <c r="G207" s="94"/>
    </row>
    <row r="208" spans="1:7" ht="15" customHeight="1">
      <c r="A208" s="94"/>
      <c r="B208" s="94"/>
      <c r="C208" s="94"/>
      <c r="D208" s="94"/>
      <c r="E208" s="94"/>
      <c r="F208" s="94"/>
      <c r="G208" s="94"/>
    </row>
    <row r="209" spans="1:7" ht="15" customHeight="1">
      <c r="A209" s="94"/>
      <c r="B209" s="94"/>
      <c r="C209" s="94"/>
      <c r="D209" s="94"/>
      <c r="E209" s="94"/>
      <c r="F209" s="94"/>
      <c r="G209" s="94"/>
    </row>
    <row r="210" spans="1:7" ht="15" customHeight="1">
      <c r="A210" s="94"/>
      <c r="B210" s="94"/>
      <c r="C210" s="94"/>
      <c r="D210" s="94"/>
      <c r="E210" s="94"/>
      <c r="F210" s="94"/>
      <c r="G210" s="94"/>
    </row>
    <row r="211" spans="1:7" ht="15" customHeight="1">
      <c r="A211" s="94"/>
      <c r="B211" s="94"/>
      <c r="C211" s="94"/>
      <c r="D211" s="94"/>
      <c r="E211" s="94"/>
      <c r="F211" s="94"/>
      <c r="G211" s="94"/>
    </row>
    <row r="212" spans="1:7" ht="15" customHeight="1">
      <c r="A212" s="94"/>
      <c r="B212" s="94"/>
      <c r="C212" s="94"/>
      <c r="D212" s="94"/>
      <c r="E212" s="94"/>
      <c r="F212" s="94"/>
      <c r="G212" s="94"/>
    </row>
    <row r="213" spans="1:7" ht="15" customHeight="1">
      <c r="A213" s="94"/>
      <c r="B213" s="94"/>
      <c r="C213" s="94"/>
      <c r="D213" s="94"/>
      <c r="E213" s="94"/>
      <c r="F213" s="94"/>
      <c r="G213" s="94"/>
    </row>
    <row r="214" spans="1:7" ht="15" customHeight="1">
      <c r="A214" s="94"/>
      <c r="B214" s="94"/>
      <c r="C214" s="94"/>
      <c r="D214" s="94"/>
      <c r="E214" s="94"/>
      <c r="F214" s="94"/>
      <c r="G214" s="94"/>
    </row>
    <row r="215" spans="1:7" ht="15" customHeight="1">
      <c r="A215" s="94"/>
      <c r="B215" s="94"/>
      <c r="C215" s="94"/>
      <c r="D215" s="94"/>
      <c r="E215" s="94"/>
      <c r="F215" s="94"/>
      <c r="G215" s="94"/>
    </row>
    <row r="216" spans="1:7" ht="15" customHeight="1">
      <c r="A216" s="94"/>
      <c r="B216" s="94"/>
      <c r="C216" s="94"/>
      <c r="D216" s="94"/>
      <c r="E216" s="94"/>
      <c r="F216" s="94"/>
      <c r="G216" s="94"/>
    </row>
    <row r="217" spans="1:7" ht="15" customHeight="1">
      <c r="A217" s="94"/>
      <c r="B217" s="94"/>
      <c r="C217" s="94"/>
      <c r="D217" s="94"/>
      <c r="E217" s="94"/>
      <c r="F217" s="94"/>
      <c r="G217" s="94"/>
    </row>
    <row r="218" spans="1:7" ht="15" customHeight="1">
      <c r="A218" s="94"/>
      <c r="B218" s="94"/>
      <c r="C218" s="94"/>
      <c r="D218" s="94"/>
      <c r="E218" s="94"/>
      <c r="F218" s="94"/>
      <c r="G218" s="94"/>
    </row>
    <row r="219" spans="1:7" ht="15" customHeight="1">
      <c r="A219" s="94"/>
      <c r="B219" s="94"/>
      <c r="C219" s="94"/>
      <c r="D219" s="94"/>
      <c r="E219" s="94"/>
      <c r="F219" s="94"/>
      <c r="G219" s="94"/>
    </row>
    <row r="220" spans="1:7" ht="15" customHeight="1">
      <c r="A220" s="94"/>
      <c r="B220" s="94"/>
      <c r="C220" s="94"/>
      <c r="D220" s="94"/>
      <c r="E220" s="94"/>
      <c r="F220" s="94"/>
      <c r="G220" s="94"/>
    </row>
    <row r="221" spans="1:7" ht="15" customHeight="1">
      <c r="A221" s="94"/>
      <c r="B221" s="94"/>
      <c r="C221" s="94"/>
      <c r="D221" s="94"/>
      <c r="E221" s="94"/>
      <c r="F221" s="94"/>
      <c r="G221" s="94"/>
    </row>
    <row r="222" spans="1:7" ht="15" customHeight="1">
      <c r="A222" s="94"/>
      <c r="B222" s="94"/>
      <c r="C222" s="94"/>
      <c r="D222" s="94"/>
      <c r="E222" s="94"/>
      <c r="F222" s="94"/>
      <c r="G222" s="94"/>
    </row>
    <row r="223" spans="1:7" ht="15" customHeight="1">
      <c r="A223" s="94"/>
      <c r="B223" s="94"/>
      <c r="C223" s="94"/>
      <c r="D223" s="94"/>
      <c r="E223" s="94"/>
      <c r="F223" s="94"/>
      <c r="G223" s="94"/>
    </row>
    <row r="224" spans="1:7" ht="15" customHeight="1">
      <c r="A224" s="94"/>
      <c r="B224" s="94"/>
      <c r="C224" s="94"/>
      <c r="D224" s="94"/>
      <c r="E224" s="94"/>
      <c r="F224" s="94"/>
      <c r="G224" s="94"/>
    </row>
    <row r="225" spans="1:7" ht="15" customHeight="1">
      <c r="A225" s="94"/>
      <c r="B225" s="94"/>
      <c r="C225" s="94"/>
      <c r="D225" s="94"/>
      <c r="E225" s="94"/>
      <c r="F225" s="94"/>
      <c r="G225" s="94"/>
    </row>
    <row r="226" spans="1:7" ht="15" customHeight="1">
      <c r="A226" s="94"/>
      <c r="B226" s="94"/>
      <c r="C226" s="94"/>
      <c r="D226" s="94"/>
      <c r="E226" s="94"/>
      <c r="F226" s="94"/>
      <c r="G226" s="94"/>
    </row>
    <row r="227" spans="1:7" ht="15" customHeight="1">
      <c r="A227" s="94"/>
      <c r="B227" s="94"/>
      <c r="C227" s="94"/>
      <c r="D227" s="94"/>
      <c r="E227" s="94"/>
      <c r="F227" s="94"/>
      <c r="G227" s="94"/>
    </row>
    <row r="228" spans="1:7" ht="15" customHeight="1">
      <c r="A228" s="94"/>
      <c r="B228" s="94"/>
      <c r="C228" s="94"/>
      <c r="D228" s="94"/>
      <c r="E228" s="94"/>
      <c r="F228" s="94"/>
      <c r="G228" s="94"/>
    </row>
    <row r="229" spans="1:7" ht="15" customHeight="1">
      <c r="A229" s="94"/>
      <c r="B229" s="94"/>
      <c r="C229" s="94"/>
      <c r="D229" s="94"/>
      <c r="E229" s="94"/>
      <c r="F229" s="94"/>
      <c r="G229" s="94"/>
    </row>
    <row r="230" spans="1:7" ht="15" customHeight="1">
      <c r="A230" s="94"/>
      <c r="B230" s="94"/>
      <c r="C230" s="94"/>
      <c r="D230" s="94"/>
      <c r="E230" s="94"/>
      <c r="F230" s="94"/>
      <c r="G230" s="94"/>
    </row>
    <row r="231" spans="1:7" ht="15" customHeight="1">
      <c r="A231" s="94"/>
      <c r="B231" s="94"/>
      <c r="C231" s="94"/>
      <c r="D231" s="94"/>
      <c r="E231" s="94"/>
      <c r="F231" s="94"/>
      <c r="G231" s="94"/>
    </row>
    <row r="232" spans="1:7" ht="15" customHeight="1">
      <c r="A232" s="94"/>
      <c r="B232" s="94"/>
      <c r="C232" s="94"/>
      <c r="D232" s="94"/>
      <c r="E232" s="94"/>
      <c r="F232" s="94"/>
      <c r="G232" s="94"/>
    </row>
    <row r="233" spans="1:7" ht="15" customHeight="1">
      <c r="A233" s="94"/>
      <c r="B233" s="94"/>
      <c r="C233" s="94"/>
      <c r="D233" s="94"/>
      <c r="E233" s="94"/>
      <c r="F233" s="94"/>
      <c r="G233" s="94"/>
    </row>
    <row r="234" spans="1:7" ht="15" customHeight="1">
      <c r="A234" s="94"/>
      <c r="B234" s="94"/>
      <c r="C234" s="94"/>
      <c r="D234" s="94"/>
      <c r="E234" s="94"/>
      <c r="F234" s="94"/>
      <c r="G234" s="94"/>
    </row>
    <row r="235" spans="1:7" ht="15" customHeight="1">
      <c r="A235" s="94"/>
      <c r="B235" s="94"/>
      <c r="C235" s="94"/>
      <c r="D235" s="94"/>
      <c r="E235" s="94"/>
      <c r="F235" s="94"/>
      <c r="G235" s="94"/>
    </row>
    <row r="236" spans="1:7" ht="15" customHeight="1">
      <c r="A236" s="94"/>
      <c r="B236" s="94"/>
      <c r="C236" s="94"/>
      <c r="D236" s="94"/>
      <c r="E236" s="94"/>
      <c r="F236" s="94"/>
      <c r="G236" s="94"/>
    </row>
    <row r="237" spans="1:7" ht="15" customHeight="1">
      <c r="A237" s="94"/>
      <c r="B237" s="94"/>
      <c r="C237" s="94"/>
      <c r="D237" s="94"/>
      <c r="E237" s="94"/>
      <c r="F237" s="94"/>
      <c r="G237" s="94"/>
    </row>
    <row r="238" spans="1:7" ht="15" customHeight="1">
      <c r="A238" s="94"/>
      <c r="B238" s="94"/>
      <c r="C238" s="94"/>
      <c r="D238" s="94"/>
      <c r="E238" s="94"/>
      <c r="F238" s="94"/>
      <c r="G238" s="94"/>
    </row>
    <row r="239" spans="1:7" ht="15" customHeight="1">
      <c r="A239" s="94"/>
      <c r="B239" s="94"/>
      <c r="C239" s="94"/>
      <c r="D239" s="94"/>
      <c r="E239" s="94"/>
      <c r="F239" s="94"/>
      <c r="G239" s="94"/>
    </row>
    <row r="240" spans="1:7" ht="15" customHeight="1">
      <c r="A240" s="94"/>
      <c r="B240" s="94"/>
      <c r="C240" s="94"/>
      <c r="D240" s="94"/>
      <c r="E240" s="94"/>
      <c r="F240" s="94"/>
      <c r="G240" s="94"/>
    </row>
    <row r="241" spans="1:7" ht="15" customHeight="1">
      <c r="A241" s="94"/>
      <c r="B241" s="94"/>
      <c r="C241" s="94"/>
      <c r="D241" s="94"/>
      <c r="E241" s="94"/>
      <c r="F241" s="94"/>
      <c r="G241" s="94"/>
    </row>
    <row r="242" spans="1:7" ht="15" customHeight="1">
      <c r="A242" s="94"/>
      <c r="B242" s="94"/>
      <c r="C242" s="94"/>
      <c r="D242" s="94"/>
      <c r="E242" s="94"/>
      <c r="F242" s="94"/>
      <c r="G242" s="94"/>
    </row>
    <row r="243" spans="1:7" ht="15" customHeight="1">
      <c r="A243" s="94"/>
      <c r="B243" s="94"/>
      <c r="C243" s="94"/>
      <c r="D243" s="94"/>
      <c r="E243" s="94"/>
      <c r="F243" s="94"/>
      <c r="G243" s="94"/>
    </row>
    <row r="244" spans="1:7" ht="15" customHeight="1">
      <c r="A244" s="94"/>
      <c r="B244" s="94"/>
      <c r="C244" s="94"/>
      <c r="D244" s="94"/>
      <c r="E244" s="94"/>
      <c r="F244" s="94"/>
      <c r="G244" s="94"/>
    </row>
    <row r="245" spans="1:7" ht="15" customHeight="1">
      <c r="A245" s="94"/>
      <c r="B245" s="94"/>
      <c r="C245" s="94"/>
      <c r="D245" s="94"/>
      <c r="E245" s="94"/>
      <c r="F245" s="94"/>
      <c r="G245" s="94"/>
    </row>
    <row r="246" spans="1:7" ht="15" customHeight="1">
      <c r="A246" s="94"/>
      <c r="B246" s="94"/>
      <c r="C246" s="94"/>
      <c r="D246" s="94"/>
      <c r="E246" s="94"/>
      <c r="F246" s="94"/>
      <c r="G246" s="94"/>
    </row>
    <row r="247" spans="1:7" ht="15" customHeight="1">
      <c r="A247" s="94"/>
      <c r="B247" s="94"/>
      <c r="C247" s="94"/>
      <c r="D247" s="94"/>
      <c r="E247" s="94"/>
      <c r="F247" s="94"/>
      <c r="G247" s="94"/>
    </row>
    <row r="248" spans="1:7" ht="15" customHeight="1">
      <c r="A248" s="94"/>
      <c r="B248" s="94"/>
      <c r="C248" s="94"/>
      <c r="D248" s="94"/>
      <c r="E248" s="94"/>
      <c r="F248" s="94"/>
      <c r="G248" s="94"/>
    </row>
    <row r="249" spans="1:7" ht="15" customHeight="1">
      <c r="A249" s="94"/>
      <c r="B249" s="94"/>
      <c r="C249" s="94"/>
      <c r="D249" s="94"/>
      <c r="E249" s="94"/>
      <c r="F249" s="94"/>
      <c r="G249" s="94"/>
    </row>
    <row r="250" spans="1:7" ht="15" customHeight="1">
      <c r="A250" s="94"/>
      <c r="B250" s="94"/>
      <c r="C250" s="94"/>
      <c r="D250" s="94"/>
      <c r="E250" s="94"/>
      <c r="F250" s="94"/>
      <c r="G250" s="94"/>
    </row>
    <row r="251" spans="1:7" ht="15" customHeight="1">
      <c r="A251" s="94"/>
      <c r="B251" s="94"/>
      <c r="C251" s="94"/>
      <c r="D251" s="94"/>
      <c r="E251" s="94"/>
      <c r="F251" s="94"/>
      <c r="G251" s="94"/>
    </row>
    <row r="252" spans="1:7" ht="15" customHeight="1">
      <c r="A252" s="94"/>
      <c r="B252" s="94"/>
      <c r="C252" s="94"/>
      <c r="D252" s="94"/>
      <c r="E252" s="94"/>
      <c r="F252" s="94"/>
      <c r="G252" s="94"/>
    </row>
    <row r="253" spans="1:7" ht="15" customHeight="1">
      <c r="A253" s="94"/>
      <c r="B253" s="94"/>
      <c r="C253" s="94"/>
      <c r="D253" s="94"/>
      <c r="E253" s="94"/>
      <c r="F253" s="94"/>
      <c r="G253" s="94"/>
    </row>
    <row r="254" spans="1:7" ht="15" customHeight="1">
      <c r="A254" s="94"/>
      <c r="B254" s="94"/>
      <c r="C254" s="94"/>
      <c r="D254" s="94"/>
      <c r="E254" s="94"/>
      <c r="F254" s="94"/>
      <c r="G254" s="94"/>
    </row>
    <row r="255" spans="1:7" ht="15" customHeight="1">
      <c r="A255" s="94"/>
      <c r="B255" s="94"/>
      <c r="C255" s="94"/>
      <c r="D255" s="94"/>
      <c r="E255" s="94"/>
      <c r="F255" s="94"/>
      <c r="G255" s="94"/>
    </row>
    <row r="256" spans="1:7" ht="15" customHeight="1">
      <c r="A256" s="94"/>
      <c r="B256" s="94"/>
      <c r="C256" s="94"/>
      <c r="D256" s="94"/>
      <c r="E256" s="94"/>
      <c r="F256" s="94"/>
      <c r="G256" s="94"/>
    </row>
    <row r="257" spans="1:7" ht="15" customHeight="1">
      <c r="A257" s="94"/>
      <c r="B257" s="94"/>
      <c r="C257" s="94"/>
      <c r="D257" s="94"/>
      <c r="E257" s="94"/>
      <c r="F257" s="94"/>
      <c r="G257" s="94"/>
    </row>
    <row r="258" spans="1:7" ht="15" customHeight="1">
      <c r="A258" s="94"/>
      <c r="B258" s="94"/>
      <c r="C258" s="94"/>
      <c r="D258" s="94"/>
      <c r="E258" s="94"/>
      <c r="F258" s="94"/>
      <c r="G258" s="94"/>
    </row>
    <row r="259" spans="1:7" ht="15" customHeight="1">
      <c r="A259" s="94"/>
      <c r="B259" s="94"/>
      <c r="C259" s="94"/>
      <c r="D259" s="94"/>
      <c r="E259" s="94"/>
      <c r="F259" s="94"/>
      <c r="G259" s="94"/>
    </row>
    <row r="260" spans="1:7" ht="15" customHeight="1">
      <c r="A260" s="94"/>
      <c r="B260" s="94"/>
      <c r="C260" s="94"/>
      <c r="D260" s="94"/>
      <c r="E260" s="94"/>
      <c r="F260" s="94"/>
      <c r="G260" s="94"/>
    </row>
    <row r="261" spans="1:7" ht="15" customHeight="1">
      <c r="A261" s="94"/>
      <c r="B261" s="94"/>
      <c r="C261" s="94"/>
      <c r="D261" s="94"/>
      <c r="E261" s="94"/>
      <c r="F261" s="94"/>
      <c r="G261" s="94"/>
    </row>
    <row r="262" spans="1:7" ht="15" customHeight="1">
      <c r="A262" s="94"/>
      <c r="B262" s="94"/>
      <c r="C262" s="94"/>
      <c r="D262" s="94"/>
      <c r="E262" s="94"/>
      <c r="F262" s="94"/>
      <c r="G262" s="94"/>
    </row>
    <row r="263" spans="1:7" ht="15" customHeight="1">
      <c r="A263" s="94"/>
      <c r="B263" s="94"/>
      <c r="C263" s="94"/>
      <c r="D263" s="94"/>
      <c r="E263" s="94"/>
      <c r="F263" s="94"/>
      <c r="G263" s="94"/>
    </row>
    <row r="264" spans="1:7" ht="15" customHeight="1">
      <c r="A264" s="94"/>
      <c r="B264" s="94"/>
      <c r="C264" s="94"/>
      <c r="D264" s="94"/>
      <c r="E264" s="94"/>
      <c r="F264" s="94"/>
      <c r="G264" s="94"/>
    </row>
    <row r="265" spans="1:7" ht="15" customHeight="1">
      <c r="A265" s="94"/>
      <c r="B265" s="94"/>
      <c r="C265" s="94"/>
      <c r="D265" s="94"/>
      <c r="E265" s="94"/>
      <c r="F265" s="94"/>
      <c r="G265" s="94"/>
    </row>
    <row r="266" spans="1:7" ht="15" customHeight="1">
      <c r="A266" s="94"/>
      <c r="B266" s="94"/>
      <c r="C266" s="94"/>
      <c r="D266" s="94"/>
      <c r="E266" s="94"/>
      <c r="F266" s="94"/>
      <c r="G266" s="94"/>
    </row>
    <row r="267" spans="1:7" ht="15" customHeight="1">
      <c r="A267" s="94"/>
      <c r="B267" s="94"/>
      <c r="C267" s="94"/>
      <c r="D267" s="94"/>
      <c r="E267" s="94"/>
      <c r="F267" s="94"/>
      <c r="G267" s="94"/>
    </row>
    <row r="268" spans="1:7" ht="15" customHeight="1">
      <c r="A268" s="94"/>
      <c r="B268" s="94"/>
      <c r="C268" s="94"/>
      <c r="D268" s="94"/>
      <c r="E268" s="94"/>
      <c r="F268" s="94"/>
      <c r="G268" s="94"/>
    </row>
    <row r="269" spans="1:7" ht="15" customHeight="1">
      <c r="A269" s="94"/>
      <c r="B269" s="94"/>
      <c r="C269" s="94"/>
      <c r="D269" s="94"/>
      <c r="E269" s="94"/>
      <c r="F269" s="94"/>
      <c r="G269" s="94"/>
    </row>
    <row r="270" spans="1:7" ht="15" customHeight="1">
      <c r="A270" s="94"/>
      <c r="B270" s="94"/>
      <c r="C270" s="94"/>
      <c r="D270" s="94"/>
      <c r="E270" s="94"/>
      <c r="F270" s="94"/>
      <c r="G270" s="94"/>
    </row>
    <row r="271" spans="1:7" ht="15" customHeight="1">
      <c r="A271" s="94"/>
      <c r="B271" s="94"/>
      <c r="C271" s="94"/>
      <c r="D271" s="94"/>
      <c r="E271" s="94"/>
      <c r="F271" s="94"/>
      <c r="G271" s="94"/>
    </row>
    <row r="272" spans="1:7" ht="15" customHeight="1">
      <c r="A272" s="94"/>
      <c r="B272" s="94"/>
      <c r="C272" s="94"/>
      <c r="D272" s="94"/>
      <c r="E272" s="94"/>
      <c r="F272" s="94"/>
      <c r="G272" s="94"/>
    </row>
    <row r="273" spans="1:7" ht="15" customHeight="1">
      <c r="A273" s="94"/>
      <c r="B273" s="94"/>
      <c r="C273" s="94"/>
      <c r="D273" s="94"/>
      <c r="E273" s="94"/>
      <c r="F273" s="94"/>
      <c r="G273" s="94"/>
    </row>
    <row r="274" spans="1:7" ht="15" customHeight="1">
      <c r="A274" s="94"/>
      <c r="B274" s="94"/>
      <c r="C274" s="94"/>
      <c r="D274" s="94"/>
      <c r="E274" s="94"/>
      <c r="F274" s="94"/>
      <c r="G274" s="94"/>
    </row>
    <row r="275" spans="1:7" ht="15" customHeight="1">
      <c r="A275" s="94"/>
      <c r="B275" s="94"/>
      <c r="C275" s="94"/>
      <c r="D275" s="94"/>
      <c r="E275" s="94"/>
      <c r="F275" s="94"/>
      <c r="G275" s="94"/>
    </row>
    <row r="276" spans="1:7" ht="15" customHeight="1">
      <c r="A276" s="94"/>
      <c r="B276" s="94"/>
      <c r="C276" s="94"/>
      <c r="D276" s="94"/>
      <c r="E276" s="94"/>
      <c r="F276" s="94"/>
      <c r="G276" s="94"/>
    </row>
    <row r="277" spans="1:7" ht="15" customHeight="1">
      <c r="A277" s="94"/>
      <c r="B277" s="94"/>
      <c r="C277" s="94"/>
      <c r="D277" s="94"/>
      <c r="E277" s="94"/>
      <c r="F277" s="94"/>
      <c r="G277" s="94"/>
    </row>
    <row r="278" spans="1:7" ht="15" customHeight="1">
      <c r="A278" s="94"/>
      <c r="B278" s="94"/>
      <c r="C278" s="94"/>
      <c r="D278" s="94"/>
      <c r="E278" s="94"/>
      <c r="F278" s="94"/>
      <c r="G278" s="94"/>
    </row>
    <row r="279" spans="1:7" ht="15" customHeight="1">
      <c r="A279" s="94"/>
      <c r="B279" s="94"/>
      <c r="C279" s="94"/>
      <c r="D279" s="94"/>
      <c r="E279" s="94"/>
      <c r="F279" s="94"/>
      <c r="G279" s="94"/>
    </row>
    <row r="280" spans="1:7" ht="15" customHeight="1">
      <c r="A280" s="94"/>
      <c r="B280" s="94"/>
      <c r="C280" s="94"/>
      <c r="D280" s="94"/>
      <c r="E280" s="94"/>
      <c r="F280" s="94"/>
      <c r="G280" s="94"/>
    </row>
    <row r="281" spans="1:7" ht="15" customHeight="1">
      <c r="A281" s="94"/>
      <c r="B281" s="94"/>
      <c r="C281" s="94"/>
      <c r="D281" s="94"/>
      <c r="E281" s="94"/>
      <c r="F281" s="94"/>
      <c r="G281" s="94"/>
    </row>
    <row r="282" spans="1:7" ht="15" customHeight="1">
      <c r="A282" s="94"/>
      <c r="B282" s="94"/>
      <c r="C282" s="94"/>
      <c r="D282" s="94"/>
      <c r="E282" s="94"/>
      <c r="F282" s="94"/>
      <c r="G282" s="94"/>
    </row>
    <row r="283" spans="1:7" ht="15" customHeight="1">
      <c r="A283" s="94"/>
      <c r="B283" s="94"/>
      <c r="C283" s="94"/>
      <c r="D283" s="94"/>
      <c r="E283" s="94"/>
      <c r="F283" s="94"/>
      <c r="G283" s="94"/>
    </row>
    <row r="284" spans="1:7" ht="15" customHeight="1">
      <c r="A284" s="94"/>
      <c r="B284" s="94"/>
      <c r="C284" s="94"/>
      <c r="D284" s="94"/>
      <c r="E284" s="94"/>
      <c r="F284" s="94"/>
      <c r="G284" s="94"/>
    </row>
    <row r="285" spans="1:7" ht="15" customHeight="1">
      <c r="A285" s="94"/>
      <c r="B285" s="94"/>
      <c r="C285" s="94"/>
      <c r="D285" s="94"/>
      <c r="E285" s="94"/>
      <c r="F285" s="94"/>
      <c r="G285" s="94"/>
    </row>
    <row r="286" spans="1:7" ht="15" customHeight="1">
      <c r="A286" s="94"/>
      <c r="B286" s="94"/>
      <c r="C286" s="94"/>
      <c r="D286" s="94"/>
      <c r="E286" s="94"/>
      <c r="F286" s="94"/>
      <c r="G286" s="94"/>
    </row>
    <row r="287" spans="1:7" ht="15" customHeight="1">
      <c r="A287" s="94"/>
      <c r="B287" s="94"/>
      <c r="C287" s="94"/>
      <c r="D287" s="94"/>
      <c r="E287" s="94"/>
      <c r="F287" s="94"/>
      <c r="G287" s="94"/>
    </row>
    <row r="288" spans="1:7" ht="15" customHeight="1">
      <c r="A288" s="94"/>
      <c r="B288" s="94"/>
      <c r="C288" s="94"/>
      <c r="D288" s="94"/>
      <c r="E288" s="94"/>
      <c r="F288" s="94"/>
      <c r="G288" s="94"/>
    </row>
    <row r="289" spans="1:7" ht="15" customHeight="1">
      <c r="A289" s="94"/>
      <c r="B289" s="94"/>
      <c r="C289" s="94"/>
      <c r="D289" s="94"/>
      <c r="E289" s="94"/>
      <c r="F289" s="94"/>
      <c r="G289" s="94"/>
    </row>
    <row r="290" spans="1:7" ht="15" customHeight="1">
      <c r="A290" s="94"/>
      <c r="B290" s="94"/>
      <c r="C290" s="94"/>
      <c r="D290" s="94"/>
      <c r="E290" s="94"/>
      <c r="F290" s="94"/>
      <c r="G290" s="94"/>
    </row>
    <row r="291" spans="1:7" ht="15" customHeight="1">
      <c r="A291" s="94"/>
      <c r="B291" s="94"/>
      <c r="C291" s="94"/>
      <c r="D291" s="94"/>
      <c r="E291" s="94"/>
      <c r="F291" s="94"/>
      <c r="G291" s="94"/>
    </row>
    <row r="292" spans="1:7" ht="15" customHeight="1">
      <c r="A292" s="94"/>
      <c r="B292" s="94"/>
      <c r="C292" s="94"/>
      <c r="D292" s="94"/>
      <c r="E292" s="94"/>
      <c r="F292" s="94"/>
      <c r="G292" s="94"/>
    </row>
    <row r="293" spans="1:7" ht="15" customHeight="1">
      <c r="A293" s="94"/>
      <c r="B293" s="94"/>
      <c r="C293" s="94"/>
      <c r="D293" s="94"/>
      <c r="E293" s="94"/>
      <c r="F293" s="94"/>
      <c r="G293" s="94"/>
    </row>
    <row r="294" spans="1:7" ht="15" customHeight="1">
      <c r="A294" s="94"/>
      <c r="B294" s="94"/>
      <c r="C294" s="94"/>
      <c r="D294" s="94"/>
      <c r="E294" s="94"/>
      <c r="F294" s="94"/>
      <c r="G294" s="94"/>
    </row>
    <row r="295" spans="1:7" ht="15" customHeight="1">
      <c r="A295" s="94"/>
      <c r="B295" s="94"/>
      <c r="C295" s="94"/>
      <c r="D295" s="94"/>
      <c r="E295" s="94"/>
      <c r="F295" s="94"/>
      <c r="G295" s="94"/>
    </row>
    <row r="296" spans="1:7" ht="15" customHeight="1">
      <c r="A296" s="94"/>
      <c r="B296" s="94"/>
      <c r="C296" s="94"/>
      <c r="D296" s="94"/>
      <c r="E296" s="94"/>
      <c r="F296" s="94"/>
      <c r="G296" s="94"/>
    </row>
    <row r="297" spans="1:7" ht="15" customHeight="1">
      <c r="A297" s="94"/>
      <c r="B297" s="94"/>
      <c r="C297" s="94"/>
      <c r="D297" s="94"/>
      <c r="E297" s="94"/>
      <c r="F297" s="94"/>
      <c r="G297" s="94"/>
    </row>
    <row r="298" spans="1:7" ht="15" customHeight="1">
      <c r="A298" s="94"/>
      <c r="B298" s="94"/>
      <c r="C298" s="94"/>
      <c r="D298" s="94"/>
      <c r="E298" s="94"/>
      <c r="F298" s="94"/>
      <c r="G298" s="94"/>
    </row>
    <row r="299" spans="1:7" ht="15" customHeight="1">
      <c r="A299" s="94"/>
      <c r="B299" s="94"/>
      <c r="C299" s="94"/>
      <c r="D299" s="94"/>
      <c r="E299" s="94"/>
      <c r="F299" s="94"/>
      <c r="G299" s="94"/>
    </row>
    <row r="300" spans="1:7" ht="15" customHeight="1">
      <c r="A300" s="94"/>
      <c r="B300" s="94"/>
      <c r="C300" s="94"/>
      <c r="D300" s="94"/>
      <c r="E300" s="94"/>
      <c r="F300" s="94"/>
      <c r="G300" s="94"/>
    </row>
    <row r="301" spans="1:7" ht="15" customHeight="1">
      <c r="A301" s="94"/>
      <c r="B301" s="94"/>
      <c r="C301" s="94"/>
      <c r="D301" s="94"/>
      <c r="E301" s="94"/>
      <c r="F301" s="94"/>
      <c r="G301" s="94"/>
    </row>
    <row r="302" spans="1:7" ht="15" customHeight="1">
      <c r="A302" s="94"/>
      <c r="B302" s="94"/>
      <c r="C302" s="94"/>
      <c r="D302" s="94"/>
      <c r="E302" s="94"/>
      <c r="F302" s="94"/>
      <c r="G302" s="94"/>
    </row>
    <row r="303" spans="1:7" ht="15" customHeight="1">
      <c r="A303" s="94"/>
      <c r="B303" s="94"/>
      <c r="C303" s="94"/>
      <c r="D303" s="94"/>
      <c r="E303" s="94"/>
      <c r="F303" s="94"/>
      <c r="G303" s="94"/>
    </row>
    <row r="304" spans="1:7" ht="15" customHeight="1">
      <c r="A304" s="94"/>
      <c r="B304" s="94"/>
      <c r="C304" s="94"/>
      <c r="D304" s="94"/>
      <c r="E304" s="94"/>
      <c r="F304" s="94"/>
      <c r="G304" s="94"/>
    </row>
    <row r="305" spans="1:7" ht="15" customHeight="1">
      <c r="A305" s="94"/>
      <c r="B305" s="94"/>
      <c r="C305" s="94"/>
      <c r="D305" s="94"/>
      <c r="E305" s="94"/>
      <c r="F305" s="94"/>
      <c r="G305" s="94"/>
    </row>
    <row r="306" spans="1:7" ht="15" customHeight="1">
      <c r="A306" s="94"/>
      <c r="B306" s="94"/>
      <c r="C306" s="94"/>
      <c r="D306" s="94"/>
      <c r="E306" s="94"/>
      <c r="F306" s="94"/>
      <c r="G306" s="94"/>
    </row>
    <row r="307" spans="1:7" ht="15" customHeight="1">
      <c r="A307" s="94"/>
      <c r="B307" s="94"/>
      <c r="C307" s="94"/>
      <c r="D307" s="94"/>
      <c r="E307" s="94"/>
      <c r="F307" s="94"/>
      <c r="G307" s="94"/>
    </row>
    <row r="308" spans="1:7" ht="15" customHeight="1">
      <c r="A308" s="94"/>
      <c r="B308" s="94"/>
      <c r="C308" s="94"/>
      <c r="D308" s="94"/>
      <c r="E308" s="94"/>
      <c r="F308" s="94"/>
      <c r="G308" s="94"/>
    </row>
    <row r="309" spans="1:7" ht="15" customHeight="1">
      <c r="A309" s="94"/>
      <c r="B309" s="94"/>
      <c r="C309" s="94"/>
      <c r="D309" s="94"/>
      <c r="E309" s="94"/>
      <c r="F309" s="94"/>
      <c r="G309" s="94"/>
    </row>
    <row r="310" spans="1:7" ht="15" customHeight="1">
      <c r="A310" s="94"/>
      <c r="B310" s="94"/>
      <c r="C310" s="94"/>
      <c r="D310" s="94"/>
      <c r="E310" s="94"/>
      <c r="F310" s="94"/>
      <c r="G310" s="94"/>
    </row>
    <row r="311" spans="1:7" ht="15" customHeight="1">
      <c r="A311" s="94"/>
      <c r="B311" s="94"/>
      <c r="C311" s="94"/>
      <c r="D311" s="94"/>
      <c r="E311" s="94"/>
      <c r="F311" s="94"/>
      <c r="G311" s="94"/>
    </row>
    <row r="312" spans="1:7" ht="15" customHeight="1">
      <c r="A312" s="94"/>
      <c r="B312" s="94"/>
      <c r="C312" s="94"/>
      <c r="D312" s="94"/>
      <c r="E312" s="94"/>
      <c r="F312" s="94"/>
      <c r="G312" s="94"/>
    </row>
    <row r="313" spans="1:7" ht="15" customHeight="1">
      <c r="A313" s="94"/>
      <c r="B313" s="94"/>
      <c r="C313" s="94"/>
      <c r="D313" s="94"/>
      <c r="E313" s="94"/>
      <c r="F313" s="94"/>
      <c r="G313" s="94"/>
    </row>
    <row r="314" spans="1:7" ht="15" customHeight="1">
      <c r="A314" s="94"/>
      <c r="B314" s="94"/>
      <c r="C314" s="94"/>
      <c r="D314" s="94"/>
      <c r="E314" s="94"/>
      <c r="F314" s="94"/>
      <c r="G314" s="94"/>
    </row>
    <row r="315" spans="1:7" ht="15" customHeight="1">
      <c r="A315" s="94"/>
      <c r="B315" s="94"/>
      <c r="C315" s="94"/>
      <c r="D315" s="94"/>
      <c r="E315" s="94"/>
      <c r="F315" s="94"/>
      <c r="G315" s="94"/>
    </row>
    <row r="316" spans="1:7" ht="15" customHeight="1">
      <c r="A316" s="94"/>
      <c r="B316" s="94"/>
      <c r="C316" s="94"/>
      <c r="D316" s="94"/>
      <c r="E316" s="94"/>
      <c r="F316" s="94"/>
      <c r="G316" s="94"/>
    </row>
    <row r="317" spans="1:7" ht="15" customHeight="1">
      <c r="A317" s="94"/>
      <c r="B317" s="94"/>
      <c r="C317" s="94"/>
      <c r="D317" s="94"/>
      <c r="E317" s="94"/>
      <c r="F317" s="94"/>
      <c r="G317" s="94"/>
    </row>
    <row r="318" spans="1:7" ht="15" customHeight="1">
      <c r="A318" s="94"/>
      <c r="B318" s="94"/>
      <c r="C318" s="94"/>
      <c r="D318" s="94"/>
      <c r="E318" s="94"/>
      <c r="F318" s="94"/>
      <c r="G318" s="94"/>
    </row>
    <row r="319" spans="1:7" ht="15" customHeight="1">
      <c r="A319" s="94"/>
      <c r="B319" s="94"/>
      <c r="C319" s="94"/>
      <c r="D319" s="94"/>
      <c r="E319" s="94"/>
      <c r="F319" s="94"/>
      <c r="G319" s="94"/>
    </row>
    <row r="320" spans="1:7" ht="15" customHeight="1">
      <c r="A320" s="94"/>
      <c r="B320" s="94"/>
      <c r="C320" s="94"/>
      <c r="D320" s="94"/>
      <c r="E320" s="94"/>
      <c r="F320" s="94"/>
      <c r="G320" s="94"/>
    </row>
    <row r="321" spans="1:7" ht="15" customHeight="1">
      <c r="A321" s="94"/>
      <c r="B321" s="94"/>
      <c r="C321" s="94"/>
      <c r="D321" s="94"/>
      <c r="E321" s="94"/>
      <c r="F321" s="94"/>
      <c r="G321" s="94"/>
    </row>
    <row r="322" spans="1:7" ht="15" customHeight="1">
      <c r="A322" s="94"/>
      <c r="B322" s="94"/>
      <c r="C322" s="94"/>
      <c r="D322" s="94"/>
      <c r="E322" s="94"/>
      <c r="F322" s="94"/>
      <c r="G322" s="94"/>
    </row>
    <row r="323" spans="1:7" ht="15" customHeight="1">
      <c r="A323" s="94"/>
      <c r="B323" s="94"/>
      <c r="C323" s="94"/>
      <c r="D323" s="94"/>
      <c r="E323" s="94"/>
      <c r="F323" s="94"/>
      <c r="G323" s="94"/>
    </row>
    <row r="324" spans="1:7" ht="15" customHeight="1">
      <c r="A324" s="94"/>
      <c r="B324" s="94"/>
      <c r="C324" s="94"/>
      <c r="D324" s="94"/>
      <c r="E324" s="94"/>
      <c r="F324" s="94"/>
      <c r="G324" s="94"/>
    </row>
    <row r="325" spans="1:7" ht="15" customHeight="1">
      <c r="A325" s="94"/>
      <c r="B325" s="94"/>
      <c r="C325" s="94"/>
      <c r="D325" s="94"/>
      <c r="E325" s="94"/>
      <c r="F325" s="94"/>
      <c r="G325" s="94"/>
    </row>
    <row r="326" spans="1:7" ht="15" customHeight="1">
      <c r="A326" s="94"/>
      <c r="B326" s="94"/>
      <c r="C326" s="94"/>
      <c r="D326" s="94"/>
      <c r="E326" s="94"/>
      <c r="F326" s="94"/>
      <c r="G326" s="94"/>
    </row>
    <row r="327" spans="1:7" ht="15" customHeight="1">
      <c r="A327" s="94"/>
      <c r="B327" s="94"/>
      <c r="C327" s="94"/>
      <c r="D327" s="94"/>
      <c r="E327" s="94"/>
      <c r="F327" s="94"/>
      <c r="G327" s="94"/>
    </row>
    <row r="328" spans="1:7" ht="15" customHeight="1">
      <c r="A328" s="94"/>
      <c r="B328" s="94"/>
      <c r="C328" s="94"/>
      <c r="D328" s="94"/>
      <c r="E328" s="94"/>
      <c r="F328" s="94"/>
      <c r="G328" s="94"/>
    </row>
    <row r="329" spans="1:7" ht="15" customHeight="1">
      <c r="A329" s="94"/>
      <c r="B329" s="94"/>
      <c r="C329" s="94"/>
      <c r="D329" s="94"/>
      <c r="E329" s="94"/>
      <c r="F329" s="94"/>
      <c r="G329" s="94"/>
    </row>
    <row r="330" spans="1:7" ht="15" customHeight="1">
      <c r="A330" s="94"/>
      <c r="B330" s="94"/>
      <c r="C330" s="94"/>
      <c r="D330" s="94"/>
      <c r="E330" s="94"/>
      <c r="F330" s="94"/>
      <c r="G330" s="94"/>
    </row>
    <row r="331" spans="1:7" ht="15" customHeight="1">
      <c r="A331" s="94"/>
      <c r="B331" s="94"/>
      <c r="C331" s="94"/>
      <c r="D331" s="94"/>
      <c r="E331" s="94"/>
      <c r="F331" s="94"/>
      <c r="G331" s="94"/>
    </row>
    <row r="332" spans="1:7" ht="15" customHeight="1">
      <c r="A332" s="94"/>
      <c r="B332" s="94"/>
      <c r="C332" s="94"/>
      <c r="D332" s="94"/>
      <c r="E332" s="94"/>
      <c r="F332" s="94"/>
      <c r="G332" s="94"/>
    </row>
    <row r="333" spans="1:7" ht="15" customHeight="1">
      <c r="A333" s="94"/>
      <c r="B333" s="94"/>
      <c r="C333" s="94"/>
      <c r="D333" s="94"/>
      <c r="E333" s="94"/>
      <c r="F333" s="94"/>
      <c r="G333" s="94"/>
    </row>
    <row r="334" spans="1:7" ht="15" customHeight="1">
      <c r="A334" s="94"/>
      <c r="B334" s="94"/>
      <c r="C334" s="94"/>
      <c r="D334" s="94"/>
      <c r="E334" s="94"/>
      <c r="F334" s="94"/>
      <c r="G334" s="94"/>
    </row>
    <row r="335" spans="1:7" ht="15" customHeight="1">
      <c r="A335" s="94"/>
      <c r="B335" s="94"/>
      <c r="C335" s="94"/>
      <c r="D335" s="94"/>
      <c r="E335" s="94"/>
      <c r="F335" s="94"/>
      <c r="G335" s="94"/>
    </row>
    <row r="336" spans="1:7" ht="15" customHeight="1">
      <c r="A336" s="94"/>
      <c r="B336" s="94"/>
      <c r="C336" s="94"/>
      <c r="D336" s="94"/>
      <c r="E336" s="94"/>
      <c r="F336" s="94"/>
      <c r="G336" s="94"/>
    </row>
    <row r="337" spans="1:7" ht="15" customHeight="1">
      <c r="A337" s="94"/>
      <c r="B337" s="94"/>
      <c r="C337" s="94"/>
      <c r="D337" s="94"/>
      <c r="E337" s="94"/>
      <c r="F337" s="94"/>
      <c r="G337" s="94"/>
    </row>
    <row r="338" spans="1:7" ht="15" customHeight="1">
      <c r="A338" s="94"/>
      <c r="B338" s="94"/>
      <c r="C338" s="94"/>
      <c r="D338" s="94"/>
      <c r="E338" s="94"/>
      <c r="F338" s="94"/>
      <c r="G338" s="94"/>
    </row>
    <row r="339" spans="1:7" ht="15" customHeight="1">
      <c r="A339" s="94"/>
      <c r="B339" s="94"/>
      <c r="C339" s="94"/>
      <c r="D339" s="94"/>
      <c r="E339" s="94"/>
      <c r="F339" s="94"/>
      <c r="G339" s="94"/>
    </row>
    <row r="340" spans="1:7" ht="15" customHeight="1">
      <c r="A340" s="94"/>
      <c r="B340" s="94"/>
      <c r="C340" s="94"/>
      <c r="D340" s="94"/>
      <c r="E340" s="94"/>
      <c r="F340" s="94"/>
      <c r="G340" s="94"/>
    </row>
    <row r="341" spans="1:7" ht="15" customHeight="1">
      <c r="A341" s="94"/>
      <c r="B341" s="94"/>
      <c r="C341" s="94"/>
      <c r="D341" s="94"/>
      <c r="E341" s="94"/>
      <c r="F341" s="94"/>
      <c r="G341" s="94"/>
    </row>
    <row r="342" spans="1:7" ht="15" customHeight="1">
      <c r="A342" s="94"/>
      <c r="B342" s="94"/>
      <c r="C342" s="94"/>
      <c r="D342" s="94"/>
      <c r="E342" s="94"/>
      <c r="F342" s="94"/>
      <c r="G342" s="94"/>
    </row>
    <row r="343" spans="1:7" ht="15" customHeight="1">
      <c r="A343" s="94"/>
      <c r="B343" s="94"/>
      <c r="C343" s="94"/>
      <c r="D343" s="94"/>
      <c r="E343" s="94"/>
      <c r="F343" s="94"/>
      <c r="G343" s="94"/>
    </row>
    <row r="344" spans="1:7" ht="15" customHeight="1">
      <c r="A344" s="94"/>
      <c r="B344" s="94"/>
      <c r="C344" s="94"/>
      <c r="D344" s="94"/>
      <c r="E344" s="94"/>
      <c r="F344" s="94"/>
      <c r="G344" s="94"/>
    </row>
    <row r="345" spans="1:7" ht="15" customHeight="1">
      <c r="A345" s="94"/>
      <c r="B345" s="94"/>
      <c r="C345" s="94"/>
      <c r="D345" s="94"/>
      <c r="E345" s="94"/>
      <c r="F345" s="94"/>
      <c r="G345" s="94"/>
    </row>
    <row r="346" spans="1:7" ht="15" customHeight="1">
      <c r="A346" s="94"/>
      <c r="B346" s="94"/>
      <c r="C346" s="94"/>
      <c r="D346" s="94"/>
      <c r="E346" s="94"/>
      <c r="F346" s="94"/>
      <c r="G346" s="94"/>
    </row>
    <row r="347" spans="1:7" ht="15" customHeight="1">
      <c r="A347" s="94"/>
      <c r="B347" s="94"/>
      <c r="C347" s="94"/>
      <c r="D347" s="94"/>
      <c r="E347" s="94"/>
      <c r="F347" s="94"/>
      <c r="G347" s="94"/>
    </row>
    <row r="348" spans="1:7" ht="15" customHeight="1">
      <c r="A348" s="94"/>
      <c r="B348" s="94"/>
      <c r="C348" s="94"/>
      <c r="D348" s="94"/>
      <c r="E348" s="94"/>
      <c r="F348" s="94"/>
      <c r="G348" s="94"/>
    </row>
    <row r="349" spans="1:7" ht="15" customHeight="1">
      <c r="A349" s="94"/>
      <c r="B349" s="94"/>
      <c r="C349" s="94"/>
      <c r="D349" s="94"/>
      <c r="E349" s="94"/>
      <c r="F349" s="94"/>
      <c r="G349" s="94"/>
    </row>
    <row r="350" spans="1:7" ht="15" customHeight="1">
      <c r="A350" s="94"/>
      <c r="B350" s="94"/>
      <c r="C350" s="94"/>
      <c r="D350" s="94"/>
      <c r="E350" s="94"/>
      <c r="F350" s="94"/>
      <c r="G350" s="94"/>
    </row>
    <row r="351" spans="1:7" ht="15" customHeight="1">
      <c r="A351" s="94"/>
      <c r="B351" s="94"/>
      <c r="C351" s="94"/>
      <c r="D351" s="94"/>
      <c r="E351" s="94"/>
      <c r="F351" s="94"/>
      <c r="G351" s="94"/>
    </row>
    <row r="352" spans="1:7" ht="15" customHeight="1">
      <c r="A352" s="94"/>
      <c r="B352" s="94"/>
      <c r="C352" s="94"/>
      <c r="D352" s="94"/>
      <c r="E352" s="94"/>
      <c r="F352" s="94"/>
      <c r="G352" s="94"/>
    </row>
    <row r="353" spans="1:7" ht="15" customHeight="1">
      <c r="A353" s="94"/>
      <c r="B353" s="94"/>
      <c r="C353" s="94"/>
      <c r="D353" s="94"/>
      <c r="E353" s="94"/>
      <c r="F353" s="94"/>
      <c r="G353" s="94"/>
    </row>
    <row r="354" spans="1:7" ht="15" customHeight="1">
      <c r="A354" s="94"/>
      <c r="B354" s="94"/>
      <c r="C354" s="94"/>
      <c r="D354" s="94"/>
      <c r="E354" s="94"/>
      <c r="F354" s="94"/>
      <c r="G354" s="94"/>
    </row>
    <row r="355" spans="1:7" ht="15" customHeight="1">
      <c r="A355" s="94"/>
      <c r="B355" s="94"/>
      <c r="C355" s="94"/>
      <c r="D355" s="94"/>
      <c r="E355" s="94"/>
      <c r="F355" s="94"/>
      <c r="G355" s="94"/>
    </row>
    <row r="356" spans="1:7" ht="15" customHeight="1">
      <c r="A356" s="94"/>
      <c r="B356" s="94"/>
      <c r="C356" s="94"/>
      <c r="D356" s="94"/>
      <c r="E356" s="94"/>
      <c r="F356" s="94"/>
      <c r="G356" s="94"/>
    </row>
    <row r="357" spans="1:7" ht="15" customHeight="1">
      <c r="A357" s="94"/>
      <c r="B357" s="94"/>
      <c r="C357" s="94"/>
      <c r="D357" s="94"/>
      <c r="E357" s="94"/>
      <c r="F357" s="94"/>
      <c r="G357" s="94"/>
    </row>
    <row r="358" spans="1:7" ht="15" customHeight="1">
      <c r="A358" s="94"/>
      <c r="B358" s="94"/>
      <c r="C358" s="94"/>
      <c r="D358" s="94"/>
      <c r="E358" s="94"/>
      <c r="F358" s="94"/>
      <c r="G358" s="94"/>
    </row>
    <row r="359" spans="1:7" ht="15" customHeight="1">
      <c r="A359" s="94"/>
      <c r="B359" s="94"/>
      <c r="C359" s="94"/>
      <c r="D359" s="94"/>
      <c r="E359" s="94"/>
      <c r="F359" s="94"/>
      <c r="G359" s="94"/>
    </row>
    <row r="360" spans="1:7" ht="15" customHeight="1">
      <c r="A360" s="94"/>
      <c r="B360" s="94"/>
      <c r="C360" s="94"/>
      <c r="D360" s="94"/>
      <c r="E360" s="94"/>
      <c r="F360" s="94"/>
      <c r="G360" s="94"/>
    </row>
    <row r="361" spans="1:7" ht="15" customHeight="1">
      <c r="A361" s="94"/>
      <c r="B361" s="94"/>
      <c r="C361" s="94"/>
      <c r="D361" s="94"/>
      <c r="E361" s="94"/>
      <c r="F361" s="94"/>
      <c r="G361" s="94"/>
    </row>
    <row r="362" spans="1:7" ht="15" customHeight="1">
      <c r="A362" s="94"/>
      <c r="B362" s="94"/>
      <c r="C362" s="94"/>
      <c r="D362" s="94"/>
      <c r="E362" s="94"/>
      <c r="F362" s="94"/>
      <c r="G362" s="94"/>
    </row>
    <row r="363" spans="1:7" ht="15" customHeight="1">
      <c r="A363" s="94"/>
      <c r="B363" s="94"/>
      <c r="C363" s="94"/>
      <c r="D363" s="94"/>
      <c r="E363" s="94"/>
      <c r="F363" s="94"/>
      <c r="G363" s="94"/>
    </row>
    <row r="364" spans="1:7" ht="15" customHeight="1">
      <c r="A364" s="94"/>
      <c r="B364" s="94"/>
      <c r="C364" s="94"/>
      <c r="D364" s="94"/>
      <c r="E364" s="94"/>
      <c r="F364" s="94"/>
      <c r="G364" s="94"/>
    </row>
    <row r="365" spans="1:7" ht="15" customHeight="1">
      <c r="A365" s="94"/>
      <c r="B365" s="94"/>
      <c r="C365" s="94"/>
      <c r="D365" s="94"/>
      <c r="E365" s="94"/>
      <c r="F365" s="94"/>
      <c r="G365" s="94"/>
    </row>
    <row r="366" spans="1:7" ht="15" customHeight="1">
      <c r="A366" s="94"/>
      <c r="B366" s="94"/>
      <c r="C366" s="94"/>
      <c r="D366" s="94"/>
      <c r="E366" s="94"/>
      <c r="F366" s="94"/>
      <c r="G366" s="94"/>
    </row>
    <row r="367" spans="1:7" ht="15" customHeight="1">
      <c r="A367" s="94"/>
      <c r="B367" s="94"/>
      <c r="C367" s="94"/>
      <c r="D367" s="94"/>
      <c r="E367" s="94"/>
      <c r="F367" s="94"/>
      <c r="G367" s="94"/>
    </row>
    <row r="368" spans="1:7" ht="15" customHeight="1">
      <c r="A368" s="94"/>
      <c r="B368" s="94"/>
      <c r="C368" s="94"/>
      <c r="D368" s="94"/>
      <c r="E368" s="94"/>
      <c r="F368" s="94"/>
      <c r="G368" s="94"/>
    </row>
    <row r="369" spans="1:7" ht="15" customHeight="1">
      <c r="A369" s="94"/>
      <c r="B369" s="94"/>
      <c r="C369" s="94"/>
      <c r="D369" s="94"/>
      <c r="E369" s="94"/>
      <c r="F369" s="94"/>
      <c r="G369" s="94"/>
    </row>
    <row r="370" spans="1:7" ht="15" customHeight="1">
      <c r="A370" s="94"/>
      <c r="B370" s="94"/>
      <c r="C370" s="94"/>
      <c r="D370" s="94"/>
      <c r="E370" s="94"/>
      <c r="F370" s="94"/>
      <c r="G370" s="94"/>
    </row>
    <row r="371" spans="1:7" ht="15" customHeight="1">
      <c r="A371" s="94"/>
      <c r="B371" s="94"/>
      <c r="C371" s="94"/>
      <c r="D371" s="94"/>
      <c r="E371" s="94"/>
      <c r="F371" s="94"/>
      <c r="G371" s="94"/>
    </row>
    <row r="372" spans="1:7" ht="15" customHeight="1">
      <c r="A372" s="94"/>
      <c r="B372" s="94"/>
      <c r="C372" s="94"/>
      <c r="D372" s="94"/>
      <c r="E372" s="94"/>
      <c r="F372" s="94"/>
      <c r="G372" s="94"/>
    </row>
    <row r="373" spans="1:7" ht="15" customHeight="1">
      <c r="A373" s="94"/>
      <c r="B373" s="94"/>
      <c r="C373" s="94"/>
      <c r="D373" s="94"/>
      <c r="E373" s="94"/>
      <c r="F373" s="94"/>
      <c r="G373" s="94"/>
    </row>
    <row r="374" spans="1:7" ht="15" customHeight="1">
      <c r="A374" s="94"/>
      <c r="B374" s="94"/>
      <c r="C374" s="94"/>
      <c r="D374" s="94"/>
      <c r="E374" s="94"/>
      <c r="F374" s="94"/>
      <c r="G374" s="94"/>
    </row>
    <row r="375" spans="1:7" ht="15" customHeight="1">
      <c r="A375" s="94"/>
      <c r="B375" s="94"/>
      <c r="C375" s="94"/>
      <c r="D375" s="94"/>
      <c r="E375" s="94"/>
      <c r="F375" s="94"/>
      <c r="G375" s="94"/>
    </row>
    <row r="376" spans="1:7" ht="15" customHeight="1">
      <c r="A376" s="94"/>
      <c r="B376" s="94"/>
      <c r="C376" s="94"/>
      <c r="D376" s="94"/>
      <c r="E376" s="94"/>
      <c r="F376" s="94"/>
      <c r="G376" s="94"/>
    </row>
    <row r="377" spans="1:7" ht="15" customHeight="1">
      <c r="A377" s="94"/>
      <c r="B377" s="94"/>
      <c r="C377" s="94"/>
      <c r="D377" s="94"/>
      <c r="E377" s="94"/>
      <c r="F377" s="94"/>
      <c r="G377" s="94"/>
    </row>
    <row r="378" spans="1:7" ht="15" customHeight="1">
      <c r="A378" s="94"/>
      <c r="B378" s="94"/>
      <c r="C378" s="94"/>
      <c r="D378" s="94"/>
      <c r="E378" s="94"/>
      <c r="F378" s="94"/>
      <c r="G378" s="94"/>
    </row>
    <row r="379" spans="1:7" ht="15" customHeight="1">
      <c r="A379" s="94"/>
      <c r="B379" s="94"/>
      <c r="C379" s="94"/>
      <c r="D379" s="94"/>
      <c r="E379" s="94"/>
      <c r="F379" s="94"/>
      <c r="G379" s="94"/>
    </row>
    <row r="380" spans="1:7" ht="15" customHeight="1">
      <c r="A380" s="94"/>
      <c r="B380" s="94"/>
      <c r="C380" s="94"/>
      <c r="D380" s="94"/>
      <c r="E380" s="94"/>
      <c r="F380" s="94"/>
      <c r="G380" s="94"/>
    </row>
    <row r="381" spans="1:7" ht="15" customHeight="1">
      <c r="A381" s="94"/>
      <c r="B381" s="94"/>
      <c r="C381" s="94"/>
      <c r="D381" s="94"/>
      <c r="E381" s="94"/>
      <c r="F381" s="94"/>
      <c r="G381" s="94"/>
    </row>
    <row r="382" spans="1:7" ht="15" customHeight="1">
      <c r="A382" s="94"/>
      <c r="B382" s="94"/>
      <c r="C382" s="94"/>
      <c r="D382" s="94"/>
      <c r="E382" s="94"/>
      <c r="F382" s="94"/>
      <c r="G382" s="94"/>
    </row>
    <row r="383" spans="1:7" ht="15" customHeight="1">
      <c r="A383" s="94"/>
      <c r="B383" s="94"/>
      <c r="C383" s="94"/>
      <c r="D383" s="94"/>
      <c r="E383" s="94"/>
      <c r="F383" s="94"/>
      <c r="G383" s="94"/>
    </row>
    <row r="384" spans="1:7" ht="15" customHeight="1">
      <c r="A384" s="94"/>
      <c r="B384" s="94"/>
      <c r="C384" s="94"/>
      <c r="D384" s="94"/>
      <c r="E384" s="94"/>
      <c r="F384" s="94"/>
      <c r="G384" s="94"/>
    </row>
    <row r="385" spans="1:7" ht="15" customHeight="1">
      <c r="A385" s="94"/>
      <c r="B385" s="94"/>
      <c r="C385" s="94"/>
      <c r="D385" s="94"/>
      <c r="E385" s="94"/>
      <c r="F385" s="94"/>
      <c r="G385" s="94"/>
    </row>
    <row r="386" spans="1:7" ht="15" customHeight="1">
      <c r="A386" s="94"/>
      <c r="B386" s="94"/>
      <c r="C386" s="94"/>
      <c r="D386" s="94"/>
      <c r="E386" s="94"/>
      <c r="F386" s="94"/>
      <c r="G386" s="94"/>
    </row>
    <row r="387" spans="1:7" ht="15" customHeight="1">
      <c r="A387" s="94"/>
      <c r="B387" s="94"/>
      <c r="C387" s="94"/>
      <c r="D387" s="94"/>
      <c r="E387" s="94"/>
      <c r="F387" s="94"/>
      <c r="G387" s="94"/>
    </row>
    <row r="388" spans="1:7" ht="15" customHeight="1">
      <c r="A388" s="94"/>
      <c r="B388" s="94"/>
      <c r="C388" s="94"/>
      <c r="D388" s="94"/>
      <c r="E388" s="94"/>
      <c r="F388" s="94"/>
      <c r="G388" s="94"/>
    </row>
    <row r="389" spans="1:7" ht="15" customHeight="1">
      <c r="A389" s="94"/>
      <c r="B389" s="94"/>
      <c r="C389" s="94"/>
      <c r="D389" s="94"/>
      <c r="E389" s="94"/>
      <c r="F389" s="94"/>
      <c r="G389" s="94"/>
    </row>
    <row r="390" spans="1:7" ht="15" customHeight="1">
      <c r="A390" s="94"/>
      <c r="B390" s="94"/>
      <c r="C390" s="94"/>
      <c r="D390" s="94"/>
      <c r="E390" s="94"/>
      <c r="F390" s="94"/>
      <c r="G390" s="94"/>
    </row>
    <row r="391" spans="1:7" ht="15" customHeight="1">
      <c r="A391" s="94"/>
      <c r="B391" s="94"/>
      <c r="C391" s="94"/>
      <c r="D391" s="94"/>
      <c r="E391" s="94"/>
      <c r="F391" s="94"/>
      <c r="G391" s="94"/>
    </row>
    <row r="392" spans="1:7" ht="15" customHeight="1">
      <c r="A392" s="94"/>
      <c r="B392" s="94"/>
      <c r="C392" s="94"/>
      <c r="D392" s="94"/>
      <c r="E392" s="94"/>
      <c r="F392" s="94"/>
      <c r="G392" s="94"/>
    </row>
    <row r="393" spans="1:7" ht="15" customHeight="1">
      <c r="A393" s="94"/>
      <c r="B393" s="94"/>
      <c r="C393" s="94"/>
      <c r="D393" s="94"/>
      <c r="E393" s="94"/>
      <c r="F393" s="94"/>
      <c r="G393" s="94"/>
    </row>
    <row r="394" spans="1:7" ht="15" customHeight="1">
      <c r="A394" s="94"/>
      <c r="B394" s="94"/>
      <c r="C394" s="94"/>
      <c r="D394" s="94"/>
      <c r="E394" s="94"/>
      <c r="F394" s="94"/>
      <c r="G394" s="94"/>
    </row>
    <row r="395" spans="1:7" ht="15" customHeight="1">
      <c r="A395" s="94"/>
      <c r="B395" s="94"/>
      <c r="C395" s="94"/>
      <c r="D395" s="94"/>
      <c r="E395" s="94"/>
      <c r="F395" s="94"/>
      <c r="G395" s="94"/>
    </row>
    <row r="396" spans="1:7" ht="15" customHeight="1">
      <c r="A396" s="94"/>
      <c r="B396" s="94"/>
      <c r="C396" s="94"/>
      <c r="D396" s="94"/>
      <c r="E396" s="94"/>
      <c r="F396" s="94"/>
      <c r="G396" s="94"/>
    </row>
    <row r="397" spans="1:7" ht="15" customHeight="1">
      <c r="A397" s="94"/>
      <c r="B397" s="94"/>
      <c r="C397" s="94"/>
      <c r="D397" s="94"/>
      <c r="E397" s="94"/>
      <c r="F397" s="94"/>
      <c r="G397" s="94"/>
    </row>
    <row r="398" spans="1:7" ht="15" customHeight="1">
      <c r="A398" s="94"/>
      <c r="B398" s="94"/>
      <c r="C398" s="94"/>
      <c r="D398" s="94"/>
      <c r="E398" s="94"/>
      <c r="F398" s="94"/>
      <c r="G398" s="94"/>
    </row>
    <row r="399" spans="1:7" ht="15" customHeight="1">
      <c r="A399" s="94"/>
      <c r="B399" s="94"/>
      <c r="C399" s="94"/>
      <c r="D399" s="94"/>
      <c r="E399" s="94"/>
      <c r="F399" s="94"/>
      <c r="G399" s="94"/>
    </row>
    <row r="400" spans="1:7" ht="15" customHeight="1">
      <c r="A400" s="94"/>
      <c r="B400" s="94"/>
      <c r="C400" s="94"/>
      <c r="D400" s="94"/>
      <c r="E400" s="94"/>
      <c r="F400" s="94"/>
      <c r="G400" s="94"/>
    </row>
    <row r="401" spans="1:7" ht="15" customHeight="1">
      <c r="A401" s="94"/>
      <c r="B401" s="94"/>
      <c r="C401" s="94"/>
      <c r="D401" s="94"/>
      <c r="E401" s="94"/>
      <c r="F401" s="94"/>
      <c r="G401" s="94"/>
    </row>
    <row r="402" spans="1:7" ht="15" customHeight="1">
      <c r="A402" s="94"/>
      <c r="B402" s="94"/>
      <c r="C402" s="94"/>
      <c r="D402" s="94"/>
      <c r="E402" s="94"/>
      <c r="F402" s="94"/>
      <c r="G402" s="94"/>
    </row>
    <row r="403" spans="1:7" ht="15" customHeight="1">
      <c r="A403" s="94"/>
      <c r="B403" s="94"/>
      <c r="C403" s="94"/>
      <c r="D403" s="94"/>
      <c r="E403" s="94"/>
      <c r="F403" s="94"/>
      <c r="G403" s="94"/>
    </row>
    <row r="404" spans="1:7" ht="15" customHeight="1">
      <c r="A404" s="94"/>
      <c r="B404" s="94"/>
      <c r="C404" s="94"/>
      <c r="D404" s="94"/>
      <c r="E404" s="94"/>
      <c r="F404" s="94"/>
      <c r="G404" s="94"/>
    </row>
    <row r="405" spans="1:7" ht="15" customHeight="1">
      <c r="A405" s="94"/>
      <c r="B405" s="94"/>
      <c r="C405" s="94"/>
      <c r="D405" s="94"/>
      <c r="E405" s="94"/>
      <c r="F405" s="94"/>
      <c r="G405" s="94"/>
    </row>
    <row r="406" spans="1:7" ht="15" customHeight="1">
      <c r="A406" s="94"/>
      <c r="B406" s="94"/>
      <c r="C406" s="94"/>
      <c r="D406" s="94"/>
      <c r="E406" s="94"/>
      <c r="F406" s="94"/>
      <c r="G406" s="94"/>
    </row>
    <row r="407" spans="1:7" ht="15" customHeight="1">
      <c r="A407" s="94"/>
      <c r="B407" s="94"/>
      <c r="C407" s="94"/>
      <c r="D407" s="94"/>
      <c r="E407" s="94"/>
      <c r="F407" s="94"/>
      <c r="G407" s="94"/>
    </row>
    <row r="408" spans="1:7" ht="15" customHeight="1">
      <c r="A408" s="94"/>
      <c r="B408" s="94"/>
      <c r="C408" s="94"/>
      <c r="D408" s="94"/>
      <c r="E408" s="94"/>
      <c r="F408" s="94"/>
      <c r="G408" s="94"/>
    </row>
    <row r="409" spans="1:7" ht="15" customHeight="1">
      <c r="A409" s="94"/>
      <c r="B409" s="94"/>
      <c r="C409" s="94"/>
      <c r="D409" s="94"/>
      <c r="E409" s="94"/>
      <c r="F409" s="94"/>
      <c r="G409" s="94"/>
    </row>
    <row r="410" spans="1:7" ht="15" customHeight="1">
      <c r="A410" s="94"/>
      <c r="B410" s="94"/>
      <c r="C410" s="94"/>
      <c r="D410" s="94"/>
      <c r="E410" s="94"/>
      <c r="F410" s="94"/>
      <c r="G410" s="94"/>
    </row>
    <row r="411" spans="1:7" ht="15" customHeight="1">
      <c r="A411" s="94"/>
      <c r="B411" s="94"/>
      <c r="C411" s="94"/>
      <c r="D411" s="94"/>
      <c r="E411" s="94"/>
      <c r="F411" s="94"/>
      <c r="G411" s="94"/>
    </row>
    <row r="412" spans="1:7" ht="15" customHeight="1">
      <c r="A412" s="94"/>
      <c r="B412" s="94"/>
      <c r="C412" s="94"/>
      <c r="D412" s="94"/>
      <c r="E412" s="94"/>
      <c r="F412" s="94"/>
      <c r="G412" s="94"/>
    </row>
    <row r="413" spans="1:7" ht="15" customHeight="1">
      <c r="A413" s="94"/>
      <c r="B413" s="94"/>
      <c r="C413" s="94"/>
      <c r="D413" s="94"/>
      <c r="E413" s="94"/>
      <c r="F413" s="94"/>
      <c r="G413" s="94"/>
    </row>
    <row r="414" spans="1:7" ht="15" customHeight="1">
      <c r="A414" s="94"/>
      <c r="B414" s="94"/>
      <c r="C414" s="94"/>
      <c r="D414" s="94"/>
      <c r="E414" s="94"/>
      <c r="F414" s="94"/>
      <c r="G414" s="94"/>
    </row>
    <row r="415" spans="1:7" ht="15" customHeight="1">
      <c r="A415" s="94"/>
      <c r="B415" s="94"/>
      <c r="C415" s="94"/>
      <c r="D415" s="94"/>
      <c r="E415" s="94"/>
      <c r="F415" s="94"/>
      <c r="G415" s="94"/>
    </row>
    <row r="416" spans="1:7" ht="15" customHeight="1">
      <c r="A416" s="94"/>
      <c r="B416" s="94"/>
      <c r="C416" s="94"/>
      <c r="D416" s="94"/>
      <c r="E416" s="94"/>
      <c r="F416" s="94"/>
      <c r="G416" s="94"/>
    </row>
    <row r="417" spans="1:7" ht="15" customHeight="1">
      <c r="A417" s="94"/>
      <c r="B417" s="94"/>
      <c r="C417" s="94"/>
      <c r="D417" s="94"/>
      <c r="E417" s="94"/>
      <c r="F417" s="94"/>
      <c r="G417" s="94"/>
    </row>
    <row r="418" spans="1:7" ht="15" customHeight="1">
      <c r="A418" s="94"/>
      <c r="B418" s="94"/>
      <c r="C418" s="94"/>
      <c r="D418" s="94"/>
      <c r="E418" s="94"/>
      <c r="F418" s="94"/>
      <c r="G418" s="94"/>
    </row>
    <row r="419" spans="1:7" ht="15" customHeight="1">
      <c r="A419" s="94"/>
      <c r="B419" s="94"/>
      <c r="C419" s="94"/>
      <c r="D419" s="94"/>
      <c r="E419" s="94"/>
      <c r="F419" s="94"/>
      <c r="G419" s="94"/>
    </row>
    <row r="420" spans="1:7" ht="15" customHeight="1">
      <c r="A420" s="94"/>
      <c r="B420" s="94"/>
      <c r="C420" s="94"/>
      <c r="D420" s="94"/>
      <c r="E420" s="94"/>
      <c r="F420" s="94"/>
      <c r="G420" s="94"/>
    </row>
    <row r="421" spans="1:7" ht="15" customHeight="1">
      <c r="A421" s="94"/>
      <c r="B421" s="94"/>
      <c r="C421" s="94"/>
      <c r="D421" s="94"/>
      <c r="E421" s="94"/>
      <c r="F421" s="94"/>
      <c r="G421" s="94"/>
    </row>
    <row r="422" spans="1:7" ht="15" customHeight="1">
      <c r="A422" s="94"/>
      <c r="B422" s="94"/>
      <c r="C422" s="94"/>
      <c r="D422" s="94"/>
      <c r="E422" s="94"/>
      <c r="F422" s="94"/>
      <c r="G422" s="94"/>
    </row>
    <row r="423" spans="1:7" ht="15" customHeight="1">
      <c r="A423" s="94"/>
      <c r="B423" s="94"/>
      <c r="C423" s="94"/>
      <c r="D423" s="94"/>
      <c r="E423" s="94"/>
      <c r="F423" s="94"/>
      <c r="G423" s="94"/>
    </row>
    <row r="424" spans="1:7" ht="15" customHeight="1">
      <c r="A424" s="94"/>
      <c r="B424" s="94"/>
      <c r="C424" s="94"/>
      <c r="D424" s="94"/>
      <c r="E424" s="94"/>
      <c r="F424" s="94"/>
      <c r="G424" s="94"/>
    </row>
    <row r="425" spans="1:7" ht="15" customHeight="1">
      <c r="A425" s="94"/>
      <c r="B425" s="94"/>
      <c r="C425" s="94"/>
      <c r="D425" s="94"/>
      <c r="E425" s="94"/>
      <c r="F425" s="94"/>
      <c r="G425" s="94"/>
    </row>
    <row r="426" spans="1:7" ht="15" customHeight="1">
      <c r="A426" s="94"/>
      <c r="B426" s="94"/>
      <c r="C426" s="94"/>
      <c r="D426" s="94"/>
      <c r="E426" s="94"/>
      <c r="F426" s="94"/>
      <c r="G426" s="94"/>
    </row>
    <row r="427" spans="1:7" ht="15" customHeight="1">
      <c r="A427" s="94"/>
      <c r="B427" s="94"/>
      <c r="C427" s="94"/>
      <c r="D427" s="94"/>
      <c r="E427" s="94"/>
      <c r="F427" s="94"/>
      <c r="G427" s="94"/>
    </row>
    <row r="428" spans="1:7" ht="15" customHeight="1">
      <c r="A428" s="94"/>
      <c r="B428" s="94"/>
      <c r="C428" s="94"/>
      <c r="D428" s="94"/>
      <c r="E428" s="94"/>
      <c r="F428" s="94"/>
      <c r="G428" s="94"/>
    </row>
    <row r="429" spans="1:7" ht="15" customHeight="1">
      <c r="A429" s="94"/>
      <c r="B429" s="94"/>
      <c r="C429" s="94"/>
      <c r="D429" s="94"/>
      <c r="E429" s="94"/>
      <c r="F429" s="94"/>
      <c r="G429" s="94"/>
    </row>
    <row r="430" spans="1:7" ht="15" customHeight="1">
      <c r="A430" s="94"/>
      <c r="B430" s="94"/>
      <c r="C430" s="94"/>
      <c r="D430" s="94"/>
      <c r="E430" s="94"/>
      <c r="F430" s="94"/>
      <c r="G430" s="94"/>
    </row>
    <row r="431" spans="1:7" ht="15" customHeight="1">
      <c r="A431" s="94"/>
      <c r="B431" s="94"/>
      <c r="C431" s="94"/>
      <c r="D431" s="94"/>
      <c r="E431" s="94"/>
      <c r="F431" s="94"/>
      <c r="G431" s="94"/>
    </row>
    <row r="432" spans="1:7" ht="15" customHeight="1">
      <c r="A432" s="94"/>
      <c r="B432" s="94"/>
      <c r="C432" s="94"/>
      <c r="D432" s="94"/>
      <c r="E432" s="94"/>
      <c r="F432" s="94"/>
      <c r="G432" s="94"/>
    </row>
    <row r="433" spans="1:7" ht="15" customHeight="1">
      <c r="A433" s="94"/>
      <c r="B433" s="94"/>
      <c r="C433" s="94"/>
      <c r="D433" s="94"/>
      <c r="E433" s="94"/>
      <c r="F433" s="94"/>
      <c r="G433" s="94"/>
    </row>
    <row r="434" spans="1:7" ht="15" customHeight="1">
      <c r="A434" s="94"/>
      <c r="B434" s="94"/>
      <c r="C434" s="94"/>
      <c r="D434" s="94"/>
      <c r="E434" s="94"/>
      <c r="F434" s="94"/>
      <c r="G434" s="94"/>
    </row>
    <row r="435" spans="1:7" ht="15" customHeight="1">
      <c r="A435" s="94"/>
      <c r="B435" s="94"/>
      <c r="C435" s="94"/>
      <c r="D435" s="94"/>
      <c r="E435" s="94"/>
      <c r="F435" s="94"/>
      <c r="G435" s="94"/>
    </row>
    <row r="436" spans="1:7" ht="15" customHeight="1">
      <c r="A436" s="94"/>
      <c r="B436" s="94"/>
      <c r="C436" s="94"/>
      <c r="D436" s="94"/>
      <c r="E436" s="94"/>
      <c r="F436" s="94"/>
      <c r="G436" s="94"/>
    </row>
    <row r="437" spans="1:7" ht="15" customHeight="1">
      <c r="A437" s="94"/>
      <c r="B437" s="94"/>
      <c r="C437" s="94"/>
      <c r="D437" s="94"/>
      <c r="E437" s="94"/>
      <c r="F437" s="94"/>
      <c r="G437" s="94"/>
    </row>
    <row r="438" spans="1:7" ht="15" customHeight="1">
      <c r="A438" s="94"/>
      <c r="B438" s="94"/>
      <c r="C438" s="94"/>
      <c r="D438" s="94"/>
      <c r="E438" s="94"/>
      <c r="F438" s="94"/>
      <c r="G438" s="94"/>
    </row>
    <row r="439" spans="1:7" ht="15" customHeight="1">
      <c r="A439" s="94"/>
      <c r="B439" s="94"/>
      <c r="C439" s="94"/>
      <c r="D439" s="94"/>
      <c r="E439" s="94"/>
      <c r="F439" s="94"/>
      <c r="G439" s="94"/>
    </row>
    <row r="440" spans="1:7" ht="15" customHeight="1">
      <c r="A440" s="94"/>
      <c r="B440" s="94"/>
      <c r="C440" s="94"/>
      <c r="D440" s="94"/>
      <c r="E440" s="94"/>
      <c r="F440" s="94"/>
      <c r="G440" s="94"/>
    </row>
    <row r="441" spans="1:7" ht="15" customHeight="1">
      <c r="A441" s="94"/>
      <c r="B441" s="94"/>
      <c r="C441" s="94"/>
      <c r="D441" s="94"/>
      <c r="E441" s="94"/>
      <c r="F441" s="94"/>
      <c r="G441" s="94"/>
    </row>
    <row r="442" spans="1:7" ht="15" customHeight="1">
      <c r="A442" s="94"/>
      <c r="B442" s="94"/>
      <c r="C442" s="94"/>
      <c r="D442" s="94"/>
      <c r="E442" s="94"/>
      <c r="F442" s="94"/>
      <c r="G442" s="94"/>
    </row>
    <row r="443" spans="1:7" ht="15" customHeight="1">
      <c r="A443" s="94"/>
      <c r="B443" s="94"/>
      <c r="C443" s="94"/>
      <c r="D443" s="94"/>
      <c r="E443" s="94"/>
      <c r="F443" s="94"/>
      <c r="G443" s="94"/>
    </row>
    <row r="444" spans="1:7" ht="15" customHeight="1">
      <c r="A444" s="94"/>
      <c r="B444" s="94"/>
      <c r="C444" s="94"/>
      <c r="D444" s="94"/>
      <c r="E444" s="94"/>
      <c r="F444" s="94"/>
      <c r="G444" s="94"/>
    </row>
    <row r="445" spans="1:7" ht="15" customHeight="1">
      <c r="A445" s="94"/>
      <c r="B445" s="94"/>
      <c r="C445" s="94"/>
      <c r="D445" s="94"/>
      <c r="E445" s="94"/>
      <c r="F445" s="94"/>
      <c r="G445" s="94"/>
    </row>
    <row r="446" spans="1:7" ht="15" customHeight="1">
      <c r="A446" s="94"/>
      <c r="B446" s="94"/>
      <c r="C446" s="94"/>
      <c r="D446" s="94"/>
      <c r="E446" s="94"/>
      <c r="F446" s="94"/>
      <c r="G446" s="94"/>
    </row>
    <row r="447" spans="1:7" ht="15" customHeight="1">
      <c r="A447" s="94"/>
      <c r="B447" s="94"/>
      <c r="C447" s="94"/>
      <c r="D447" s="94"/>
      <c r="E447" s="94"/>
      <c r="F447" s="94"/>
      <c r="G447" s="94"/>
    </row>
    <row r="448" spans="1:7" ht="15" customHeight="1">
      <c r="A448" s="94"/>
      <c r="B448" s="94"/>
      <c r="C448" s="94"/>
      <c r="D448" s="94"/>
      <c r="E448" s="94"/>
      <c r="F448" s="94"/>
      <c r="G448" s="94"/>
    </row>
    <row r="449" spans="1:7" ht="15" customHeight="1">
      <c r="A449" s="94"/>
      <c r="B449" s="94"/>
      <c r="C449" s="94"/>
      <c r="D449" s="94"/>
      <c r="E449" s="94"/>
      <c r="F449" s="94"/>
      <c r="G449" s="94"/>
    </row>
    <row r="450" spans="1:7" ht="15" customHeight="1">
      <c r="A450" s="94"/>
      <c r="B450" s="94"/>
      <c r="C450" s="94"/>
      <c r="D450" s="94"/>
      <c r="E450" s="94"/>
      <c r="F450" s="94"/>
      <c r="G450" s="94"/>
    </row>
    <row r="451" spans="1:7" ht="15" customHeight="1">
      <c r="A451" s="94"/>
      <c r="B451" s="94"/>
      <c r="C451" s="94"/>
      <c r="D451" s="94"/>
      <c r="E451" s="94"/>
      <c r="F451" s="94"/>
      <c r="G451" s="94"/>
    </row>
    <row r="452" spans="1:7" ht="15" customHeight="1">
      <c r="A452" s="94"/>
      <c r="B452" s="94"/>
      <c r="C452" s="94"/>
      <c r="D452" s="94"/>
      <c r="E452" s="94"/>
      <c r="F452" s="94"/>
      <c r="G452" s="94"/>
    </row>
    <row r="453" spans="1:7" ht="15" customHeight="1">
      <c r="A453" s="94"/>
      <c r="B453" s="94"/>
      <c r="C453" s="94"/>
      <c r="D453" s="94"/>
      <c r="E453" s="94"/>
      <c r="F453" s="94"/>
      <c r="G453" s="94"/>
    </row>
    <row r="454" spans="1:7" ht="15" customHeight="1">
      <c r="A454" s="94"/>
      <c r="B454" s="94"/>
      <c r="C454" s="94"/>
      <c r="D454" s="94"/>
      <c r="E454" s="94"/>
      <c r="F454" s="94"/>
      <c r="G454" s="94"/>
    </row>
    <row r="455" spans="1:7" ht="15" customHeight="1">
      <c r="A455" s="94"/>
      <c r="B455" s="94"/>
      <c r="C455" s="94"/>
      <c r="D455" s="94"/>
      <c r="E455" s="94"/>
      <c r="F455" s="94"/>
      <c r="G455" s="94"/>
    </row>
    <row r="456" spans="1:7" ht="15" customHeight="1">
      <c r="A456" s="94"/>
      <c r="B456" s="94"/>
      <c r="C456" s="94"/>
      <c r="D456" s="94"/>
      <c r="E456" s="94"/>
      <c r="F456" s="94"/>
      <c r="G456" s="94"/>
    </row>
    <row r="457" spans="1:7" ht="15" customHeight="1">
      <c r="A457" s="94"/>
      <c r="B457" s="94"/>
      <c r="C457" s="94"/>
      <c r="D457" s="94"/>
      <c r="E457" s="94"/>
      <c r="F457" s="94"/>
      <c r="G457" s="94"/>
    </row>
    <row r="458" spans="1:7" ht="15" customHeight="1">
      <c r="A458" s="94"/>
      <c r="B458" s="94"/>
      <c r="C458" s="94"/>
      <c r="D458" s="94"/>
      <c r="E458" s="94"/>
      <c r="F458" s="94"/>
      <c r="G458" s="94"/>
    </row>
    <row r="459" spans="1:7" ht="15" customHeight="1">
      <c r="A459" s="94"/>
      <c r="B459" s="94"/>
      <c r="C459" s="94"/>
      <c r="D459" s="94"/>
      <c r="E459" s="94"/>
      <c r="F459" s="94"/>
      <c r="G459" s="94"/>
    </row>
    <row r="460" spans="1:7" ht="15" customHeight="1">
      <c r="A460" s="94"/>
      <c r="B460" s="94"/>
      <c r="C460" s="94"/>
      <c r="D460" s="94"/>
      <c r="E460" s="94"/>
      <c r="F460" s="94"/>
      <c r="G460" s="94"/>
    </row>
    <row r="461" spans="1:7" ht="15" customHeight="1">
      <c r="A461" s="94"/>
      <c r="B461" s="94"/>
      <c r="C461" s="94"/>
      <c r="D461" s="94"/>
      <c r="E461" s="94"/>
      <c r="F461" s="94"/>
      <c r="G461" s="94"/>
    </row>
    <row r="462" spans="1:7" ht="15" customHeight="1">
      <c r="A462" s="94"/>
      <c r="B462" s="94"/>
      <c r="C462" s="94"/>
      <c r="D462" s="94"/>
      <c r="E462" s="94"/>
      <c r="F462" s="94"/>
      <c r="G462" s="94"/>
    </row>
    <row r="463" spans="1:7" ht="15" customHeight="1">
      <c r="A463" s="94"/>
      <c r="B463" s="94"/>
      <c r="C463" s="94"/>
      <c r="D463" s="94"/>
      <c r="E463" s="94"/>
      <c r="F463" s="94"/>
      <c r="G463" s="94"/>
    </row>
    <row r="464" spans="1:7" ht="15" customHeight="1">
      <c r="A464" s="94"/>
      <c r="B464" s="94"/>
      <c r="C464" s="94"/>
      <c r="D464" s="94"/>
      <c r="E464" s="94"/>
      <c r="F464" s="94"/>
      <c r="G464" s="94"/>
    </row>
    <row r="465" spans="1:7" ht="15" customHeight="1">
      <c r="A465" s="94"/>
      <c r="B465" s="94"/>
      <c r="C465" s="94"/>
      <c r="D465" s="94"/>
      <c r="E465" s="94"/>
      <c r="F465" s="94"/>
      <c r="G465" s="94"/>
    </row>
    <row r="466" spans="1:7" ht="15" customHeight="1">
      <c r="A466" s="94"/>
      <c r="B466" s="94"/>
      <c r="C466" s="94"/>
      <c r="D466" s="94"/>
      <c r="E466" s="94"/>
      <c r="F466" s="94"/>
      <c r="G466" s="94"/>
    </row>
    <row r="467" spans="1:7" ht="15" customHeight="1">
      <c r="A467" s="94"/>
      <c r="B467" s="94"/>
      <c r="C467" s="94"/>
      <c r="D467" s="94"/>
      <c r="E467" s="94"/>
      <c r="F467" s="94"/>
      <c r="G467" s="94"/>
    </row>
    <row r="468" spans="1:7" ht="15" customHeight="1">
      <c r="A468" s="94"/>
      <c r="B468" s="94"/>
      <c r="C468" s="94"/>
      <c r="D468" s="94"/>
      <c r="E468" s="94"/>
      <c r="F468" s="94"/>
      <c r="G468" s="94"/>
    </row>
    <row r="469" spans="1:7" ht="15" customHeight="1">
      <c r="A469" s="94"/>
      <c r="B469" s="94"/>
      <c r="C469" s="94"/>
      <c r="D469" s="94"/>
      <c r="E469" s="94"/>
      <c r="F469" s="94"/>
      <c r="G469" s="94"/>
    </row>
    <row r="470" spans="1:7" ht="15" customHeight="1">
      <c r="A470" s="94"/>
      <c r="B470" s="94"/>
      <c r="C470" s="94"/>
      <c r="D470" s="94"/>
      <c r="E470" s="94"/>
      <c r="F470" s="94"/>
      <c r="G470" s="94"/>
    </row>
    <row r="471" spans="1:7" ht="15" customHeight="1">
      <c r="A471" s="94"/>
      <c r="B471" s="94"/>
      <c r="C471" s="94"/>
      <c r="D471" s="94"/>
      <c r="E471" s="94"/>
      <c r="F471" s="94"/>
      <c r="G471" s="94"/>
    </row>
    <row r="472" spans="1:7" ht="15" customHeight="1">
      <c r="A472" s="94"/>
      <c r="B472" s="94"/>
      <c r="C472" s="94"/>
      <c r="D472" s="94"/>
      <c r="E472" s="94"/>
      <c r="F472" s="94"/>
      <c r="G472" s="94"/>
    </row>
    <row r="473" spans="1:7" ht="15" customHeight="1">
      <c r="A473" s="94"/>
      <c r="B473" s="94"/>
      <c r="C473" s="94"/>
      <c r="D473" s="94"/>
      <c r="E473" s="94"/>
      <c r="F473" s="94"/>
      <c r="G473" s="94"/>
    </row>
    <row r="474" spans="1:7" ht="15" customHeight="1">
      <c r="A474" s="94"/>
      <c r="B474" s="94"/>
      <c r="C474" s="94"/>
      <c r="D474" s="94"/>
      <c r="E474" s="94"/>
      <c r="F474" s="94"/>
      <c r="G474" s="94"/>
    </row>
    <row r="475" spans="1:7" ht="15" customHeight="1">
      <c r="A475" s="94"/>
      <c r="B475" s="94"/>
      <c r="C475" s="94"/>
      <c r="D475" s="94"/>
      <c r="E475" s="94"/>
      <c r="F475" s="94"/>
      <c r="G475" s="94"/>
    </row>
    <row r="476" spans="1:7" ht="15" customHeight="1">
      <c r="A476" s="94"/>
      <c r="B476" s="94"/>
      <c r="C476" s="94"/>
      <c r="D476" s="94"/>
      <c r="E476" s="94"/>
      <c r="F476" s="94"/>
      <c r="G476" s="94"/>
    </row>
    <row r="477" spans="1:7" ht="15" customHeight="1">
      <c r="A477" s="94"/>
      <c r="B477" s="94"/>
      <c r="C477" s="94"/>
      <c r="D477" s="94"/>
      <c r="E477" s="94"/>
      <c r="F477" s="94"/>
      <c r="G477" s="94"/>
    </row>
    <row r="478" spans="1:7" ht="15" customHeight="1">
      <c r="A478" s="94"/>
      <c r="B478" s="94"/>
      <c r="C478" s="94"/>
      <c r="D478" s="94"/>
      <c r="E478" s="94"/>
      <c r="F478" s="94"/>
      <c r="G478" s="94"/>
    </row>
    <row r="479" spans="1:7" ht="15" customHeight="1">
      <c r="A479" s="94"/>
      <c r="B479" s="94"/>
      <c r="C479" s="94"/>
      <c r="D479" s="94"/>
      <c r="E479" s="94"/>
      <c r="F479" s="94"/>
      <c r="G479" s="94"/>
    </row>
    <row r="480" spans="1:7" ht="15" customHeight="1">
      <c r="A480" s="94"/>
      <c r="B480" s="94"/>
      <c r="C480" s="94"/>
      <c r="D480" s="94"/>
      <c r="E480" s="94"/>
      <c r="F480" s="94"/>
      <c r="G480" s="94"/>
    </row>
    <row r="481" spans="1:7" ht="15" customHeight="1">
      <c r="A481" s="94"/>
      <c r="B481" s="94"/>
      <c r="C481" s="94"/>
      <c r="D481" s="94"/>
      <c r="E481" s="94"/>
      <c r="F481" s="94"/>
      <c r="G481" s="94"/>
    </row>
    <row r="482" spans="1:7" ht="15" customHeight="1">
      <c r="A482" s="94"/>
      <c r="B482" s="94"/>
      <c r="C482" s="94"/>
      <c r="D482" s="94"/>
      <c r="E482" s="94"/>
      <c r="F482" s="94"/>
      <c r="G482" s="94"/>
    </row>
    <row r="483" spans="1:7" ht="15" customHeight="1">
      <c r="A483" s="94"/>
      <c r="B483" s="94"/>
      <c r="C483" s="94"/>
      <c r="D483" s="94"/>
      <c r="E483" s="94"/>
      <c r="F483" s="94"/>
      <c r="G483" s="94"/>
    </row>
    <row r="484" spans="1:7" ht="15" customHeight="1">
      <c r="A484" s="94"/>
      <c r="B484" s="94"/>
      <c r="C484" s="94"/>
      <c r="D484" s="94"/>
      <c r="E484" s="94"/>
      <c r="F484" s="94"/>
      <c r="G484" s="94"/>
    </row>
    <row r="485" spans="1:7" ht="15" customHeight="1">
      <c r="A485" s="94"/>
      <c r="B485" s="94"/>
      <c r="C485" s="94"/>
      <c r="D485" s="94"/>
      <c r="E485" s="94"/>
      <c r="F485" s="94"/>
      <c r="G485" s="94"/>
    </row>
    <row r="486" spans="1:7" ht="15" customHeight="1">
      <c r="A486" s="94"/>
      <c r="B486" s="94"/>
      <c r="C486" s="94"/>
      <c r="D486" s="94"/>
      <c r="E486" s="94"/>
      <c r="F486" s="94"/>
      <c r="G486" s="94"/>
    </row>
    <row r="487" spans="1:7" ht="15" customHeight="1">
      <c r="A487" s="94"/>
      <c r="B487" s="94"/>
      <c r="C487" s="94"/>
      <c r="D487" s="94"/>
      <c r="E487" s="94"/>
      <c r="F487" s="94"/>
      <c r="G487" s="94"/>
    </row>
    <row r="488" spans="1:7" ht="15" customHeight="1">
      <c r="A488" s="94"/>
      <c r="B488" s="94"/>
      <c r="C488" s="94"/>
      <c r="D488" s="94"/>
      <c r="E488" s="94"/>
      <c r="F488" s="94"/>
      <c r="G488" s="94"/>
    </row>
    <row r="489" spans="1:7" ht="15" customHeight="1">
      <c r="A489" s="94"/>
      <c r="B489" s="94"/>
      <c r="C489" s="94"/>
      <c r="D489" s="94"/>
      <c r="E489" s="94"/>
      <c r="F489" s="94"/>
      <c r="G489" s="94"/>
    </row>
    <row r="490" spans="1:7" ht="15" customHeight="1">
      <c r="A490" s="94"/>
      <c r="B490" s="94"/>
      <c r="C490" s="94"/>
      <c r="D490" s="94"/>
      <c r="E490" s="94"/>
      <c r="F490" s="94"/>
      <c r="G490" s="94"/>
    </row>
    <row r="491" spans="1:7" ht="15" customHeight="1">
      <c r="A491" s="94"/>
      <c r="B491" s="94"/>
      <c r="C491" s="94"/>
      <c r="D491" s="94"/>
      <c r="E491" s="94"/>
      <c r="F491" s="94"/>
      <c r="G491" s="94"/>
    </row>
    <row r="492" spans="1:7" ht="15" customHeight="1">
      <c r="A492" s="94"/>
      <c r="B492" s="94"/>
      <c r="C492" s="94"/>
      <c r="D492" s="94"/>
      <c r="E492" s="94"/>
      <c r="F492" s="94"/>
      <c r="G492" s="94"/>
    </row>
    <row r="493" spans="1:7" ht="15" customHeight="1">
      <c r="A493" s="94"/>
      <c r="B493" s="94"/>
      <c r="C493" s="94"/>
      <c r="D493" s="94"/>
      <c r="E493" s="94"/>
      <c r="F493" s="94"/>
      <c r="G493" s="94"/>
    </row>
    <row r="494" spans="1:7" ht="15" customHeight="1">
      <c r="A494" s="94"/>
      <c r="B494" s="94"/>
      <c r="C494" s="94"/>
      <c r="D494" s="94"/>
      <c r="E494" s="94"/>
      <c r="F494" s="94"/>
      <c r="G494" s="94"/>
    </row>
    <row r="495" spans="1:7" ht="15" customHeight="1">
      <c r="A495" s="94"/>
      <c r="B495" s="94"/>
      <c r="C495" s="94"/>
      <c r="D495" s="94"/>
      <c r="E495" s="94"/>
      <c r="F495" s="94"/>
      <c r="G495" s="94"/>
    </row>
    <row r="496" spans="1:7" ht="15" customHeight="1">
      <c r="A496" s="94"/>
      <c r="B496" s="94"/>
      <c r="C496" s="94"/>
      <c r="D496" s="94"/>
      <c r="E496" s="94"/>
      <c r="F496" s="94"/>
      <c r="G496" s="94"/>
    </row>
    <row r="497" spans="1:7" ht="15" customHeight="1">
      <c r="A497" s="94"/>
      <c r="B497" s="94"/>
      <c r="C497" s="94"/>
      <c r="D497" s="94"/>
      <c r="E497" s="94"/>
      <c r="F497" s="94"/>
      <c r="G497" s="94"/>
    </row>
    <row r="498" spans="1:7" ht="15" customHeight="1">
      <c r="A498" s="94"/>
      <c r="B498" s="94"/>
      <c r="C498" s="94"/>
      <c r="D498" s="94"/>
      <c r="E498" s="94"/>
      <c r="F498" s="94"/>
      <c r="G498" s="94"/>
    </row>
    <row r="499" spans="1:7" ht="15" customHeight="1">
      <c r="A499" s="94"/>
      <c r="B499" s="94"/>
      <c r="C499" s="94"/>
      <c r="D499" s="94"/>
      <c r="E499" s="94"/>
      <c r="F499" s="94"/>
      <c r="G499" s="94"/>
    </row>
    <row r="500" spans="1:7" ht="15" customHeight="1">
      <c r="A500" s="94"/>
      <c r="B500" s="94"/>
      <c r="C500" s="94"/>
      <c r="D500" s="94"/>
      <c r="E500" s="94"/>
      <c r="F500" s="94"/>
      <c r="G500" s="94"/>
    </row>
    <row r="501" spans="1:7" ht="15" customHeight="1">
      <c r="A501" s="94"/>
      <c r="B501" s="94"/>
      <c r="C501" s="94"/>
      <c r="D501" s="94"/>
      <c r="E501" s="94"/>
      <c r="F501" s="94"/>
      <c r="G501" s="94"/>
    </row>
    <row r="502" spans="1:7" ht="15" customHeight="1">
      <c r="A502" s="94"/>
      <c r="B502" s="94"/>
      <c r="C502" s="94"/>
      <c r="D502" s="94"/>
      <c r="E502" s="94"/>
      <c r="F502" s="94"/>
      <c r="G502" s="94"/>
    </row>
    <row r="503" spans="1:7" ht="15" customHeight="1">
      <c r="A503" s="94"/>
      <c r="B503" s="94"/>
      <c r="C503" s="94"/>
      <c r="D503" s="94"/>
      <c r="E503" s="94"/>
      <c r="F503" s="94"/>
      <c r="G503" s="94"/>
    </row>
    <row r="504" spans="1:7" ht="15" customHeight="1">
      <c r="A504" s="94"/>
      <c r="B504" s="94"/>
      <c r="C504" s="94"/>
      <c r="D504" s="94"/>
      <c r="E504" s="94"/>
      <c r="F504" s="94"/>
      <c r="G504" s="94"/>
    </row>
    <row r="505" spans="1:7" ht="15" customHeight="1">
      <c r="A505" s="94"/>
      <c r="B505" s="94"/>
      <c r="C505" s="94"/>
      <c r="D505" s="94"/>
      <c r="E505" s="94"/>
      <c r="F505" s="94"/>
      <c r="G505" s="94"/>
    </row>
    <row r="506" spans="1:7" ht="15" customHeight="1">
      <c r="A506" s="94"/>
      <c r="B506" s="94"/>
      <c r="C506" s="94"/>
      <c r="D506" s="94"/>
      <c r="E506" s="94"/>
      <c r="F506" s="94"/>
      <c r="G506" s="94"/>
    </row>
    <row r="507" spans="1:7" ht="15" customHeight="1">
      <c r="A507" s="94"/>
      <c r="B507" s="94"/>
      <c r="C507" s="94"/>
      <c r="D507" s="94"/>
      <c r="E507" s="94"/>
      <c r="F507" s="94"/>
      <c r="G507" s="94"/>
    </row>
    <row r="508" spans="1:7" ht="15" customHeight="1">
      <c r="A508" s="94"/>
      <c r="B508" s="94"/>
      <c r="C508" s="94"/>
      <c r="D508" s="94"/>
      <c r="E508" s="94"/>
      <c r="F508" s="94"/>
      <c r="G508" s="94"/>
    </row>
    <row r="509" spans="1:7" ht="15" customHeight="1">
      <c r="A509" s="94"/>
      <c r="B509" s="94"/>
      <c r="C509" s="94"/>
      <c r="D509" s="94"/>
      <c r="E509" s="94"/>
      <c r="F509" s="94"/>
      <c r="G509" s="94"/>
    </row>
    <row r="510" spans="1:7" ht="15" customHeight="1">
      <c r="A510" s="94"/>
      <c r="B510" s="94"/>
      <c r="C510" s="94"/>
      <c r="D510" s="94"/>
      <c r="E510" s="94"/>
      <c r="F510" s="94"/>
      <c r="G510" s="94"/>
    </row>
    <row r="511" spans="1:7" ht="15" customHeight="1">
      <c r="A511" s="94"/>
      <c r="B511" s="94"/>
      <c r="C511" s="94"/>
      <c r="D511" s="94"/>
      <c r="E511" s="94"/>
      <c r="F511" s="94"/>
      <c r="G511" s="94"/>
    </row>
    <row r="512" spans="1:7" ht="15" customHeight="1">
      <c r="A512" s="94"/>
      <c r="B512" s="94"/>
      <c r="C512" s="94"/>
      <c r="D512" s="94"/>
      <c r="E512" s="94"/>
      <c r="F512" s="94"/>
      <c r="G512" s="94"/>
    </row>
    <row r="513" spans="1:7" ht="15" customHeight="1">
      <c r="A513" s="94"/>
      <c r="B513" s="94"/>
      <c r="C513" s="94"/>
      <c r="D513" s="94"/>
      <c r="E513" s="94"/>
      <c r="F513" s="94"/>
      <c r="G513" s="94"/>
    </row>
    <row r="514" spans="1:7" ht="15" customHeight="1">
      <c r="A514" s="94"/>
      <c r="B514" s="94"/>
      <c r="C514" s="94"/>
      <c r="D514" s="94"/>
      <c r="E514" s="94"/>
      <c r="F514" s="94"/>
      <c r="G514" s="94"/>
    </row>
    <row r="515" spans="1:7" ht="15" customHeight="1">
      <c r="A515" s="94"/>
      <c r="B515" s="94"/>
      <c r="C515" s="94"/>
      <c r="D515" s="94"/>
      <c r="E515" s="94"/>
      <c r="F515" s="94"/>
      <c r="G515" s="94"/>
    </row>
    <row r="516" spans="1:7" ht="15" customHeight="1">
      <c r="A516" s="94"/>
      <c r="B516" s="94"/>
      <c r="C516" s="94"/>
      <c r="D516" s="94"/>
      <c r="E516" s="94"/>
      <c r="F516" s="94"/>
      <c r="G516" s="94"/>
    </row>
    <row r="517" spans="1:7" ht="15" customHeight="1">
      <c r="A517" s="94"/>
      <c r="B517" s="94"/>
      <c r="C517" s="94"/>
      <c r="D517" s="94"/>
      <c r="E517" s="94"/>
      <c r="F517" s="94"/>
      <c r="G517" s="94"/>
    </row>
    <row r="518" spans="1:7" ht="15" customHeight="1">
      <c r="A518" s="94"/>
      <c r="B518" s="94"/>
      <c r="C518" s="94"/>
      <c r="D518" s="94"/>
      <c r="E518" s="94"/>
      <c r="F518" s="94"/>
      <c r="G518" s="94"/>
    </row>
    <row r="519" spans="1:7" ht="15" customHeight="1">
      <c r="A519" s="94"/>
      <c r="B519" s="94"/>
      <c r="C519" s="94"/>
      <c r="D519" s="94"/>
      <c r="E519" s="94"/>
      <c r="F519" s="94"/>
      <c r="G519" s="94"/>
    </row>
    <row r="520" spans="1:7" ht="15" customHeight="1">
      <c r="A520" s="94"/>
      <c r="B520" s="94"/>
      <c r="C520" s="94"/>
      <c r="D520" s="94"/>
      <c r="E520" s="94"/>
      <c r="F520" s="94"/>
      <c r="G520" s="94"/>
    </row>
    <row r="521" spans="1:7" ht="15" customHeight="1">
      <c r="A521" s="94"/>
      <c r="B521" s="94"/>
      <c r="C521" s="94"/>
      <c r="D521" s="94"/>
      <c r="E521" s="94"/>
      <c r="F521" s="94"/>
      <c r="G521" s="94"/>
    </row>
    <row r="522" spans="1:7" ht="15" customHeight="1">
      <c r="A522" s="94"/>
      <c r="B522" s="94"/>
      <c r="C522" s="94"/>
      <c r="D522" s="94"/>
      <c r="E522" s="94"/>
      <c r="F522" s="94"/>
      <c r="G522" s="94"/>
    </row>
    <row r="523" spans="1:7" ht="15" customHeight="1">
      <c r="A523" s="94"/>
      <c r="B523" s="94"/>
      <c r="C523" s="94"/>
      <c r="D523" s="94"/>
      <c r="E523" s="94"/>
      <c r="F523" s="94"/>
      <c r="G523" s="94"/>
    </row>
    <row r="524" spans="1:7" ht="15" customHeight="1">
      <c r="A524" s="94"/>
      <c r="B524" s="94"/>
      <c r="C524" s="94"/>
      <c r="D524" s="94"/>
      <c r="E524" s="94"/>
      <c r="F524" s="94"/>
      <c r="G524" s="94"/>
    </row>
    <row r="525" spans="1:7" ht="15" customHeight="1">
      <c r="A525" s="94"/>
      <c r="B525" s="94"/>
      <c r="C525" s="94"/>
      <c r="D525" s="94"/>
      <c r="E525" s="94"/>
      <c r="F525" s="94"/>
      <c r="G525" s="94"/>
    </row>
    <row r="526" spans="1:7" ht="15" customHeight="1">
      <c r="A526" s="94"/>
      <c r="B526" s="94"/>
      <c r="C526" s="94"/>
      <c r="D526" s="94"/>
      <c r="E526" s="94"/>
      <c r="F526" s="94"/>
      <c r="G526" s="94"/>
    </row>
    <row r="527" spans="1:7" ht="15" customHeight="1">
      <c r="A527" s="94"/>
      <c r="B527" s="94"/>
      <c r="C527" s="94"/>
      <c r="D527" s="94"/>
      <c r="E527" s="94"/>
      <c r="F527" s="94"/>
      <c r="G527" s="94"/>
    </row>
    <row r="528" spans="1:7" ht="15" customHeight="1">
      <c r="A528" s="94"/>
      <c r="B528" s="94"/>
      <c r="C528" s="94"/>
      <c r="D528" s="94"/>
      <c r="E528" s="94"/>
      <c r="F528" s="94"/>
      <c r="G528" s="94"/>
    </row>
    <row r="529" spans="1:7" ht="15" customHeight="1">
      <c r="A529" s="94"/>
      <c r="B529" s="94"/>
      <c r="C529" s="94"/>
      <c r="D529" s="94"/>
      <c r="E529" s="94"/>
      <c r="F529" s="94"/>
      <c r="G529" s="94"/>
    </row>
    <row r="530" spans="1:7" ht="15" customHeight="1">
      <c r="A530" s="94"/>
      <c r="B530" s="94"/>
      <c r="C530" s="94"/>
      <c r="D530" s="94"/>
      <c r="E530" s="94"/>
      <c r="F530" s="94"/>
      <c r="G530" s="94"/>
    </row>
    <row r="531" spans="1:7" ht="15" customHeight="1">
      <c r="A531" s="94"/>
      <c r="B531" s="94"/>
      <c r="C531" s="94"/>
      <c r="D531" s="94"/>
      <c r="E531" s="94"/>
      <c r="F531" s="94"/>
      <c r="G531" s="94"/>
    </row>
    <row r="532" spans="1:7" ht="15" customHeight="1">
      <c r="A532" s="94"/>
      <c r="B532" s="94"/>
      <c r="C532" s="94"/>
      <c r="D532" s="94"/>
      <c r="E532" s="94"/>
      <c r="F532" s="94"/>
      <c r="G532" s="94"/>
    </row>
    <row r="533" spans="1:7" ht="15" customHeight="1">
      <c r="A533" s="94"/>
      <c r="B533" s="94"/>
      <c r="C533" s="94"/>
      <c r="D533" s="94"/>
      <c r="E533" s="94"/>
      <c r="F533" s="94"/>
      <c r="G533" s="94"/>
    </row>
    <row r="534" spans="1:7" ht="15" customHeight="1">
      <c r="A534" s="94"/>
      <c r="B534" s="94"/>
      <c r="C534" s="94"/>
      <c r="D534" s="94"/>
      <c r="E534" s="94"/>
      <c r="F534" s="94"/>
      <c r="G534" s="94"/>
    </row>
    <row r="535" spans="1:7" ht="15" customHeight="1">
      <c r="A535" s="94"/>
      <c r="B535" s="94"/>
      <c r="C535" s="94"/>
      <c r="D535" s="94"/>
      <c r="E535" s="94"/>
      <c r="F535" s="94"/>
      <c r="G535" s="94"/>
    </row>
    <row r="536" spans="1:7" ht="15" customHeight="1">
      <c r="A536" s="94"/>
      <c r="B536" s="94"/>
      <c r="C536" s="94"/>
      <c r="D536" s="94"/>
      <c r="E536" s="94"/>
      <c r="F536" s="94"/>
      <c r="G536" s="94"/>
    </row>
    <row r="537" spans="1:7" ht="15" customHeight="1">
      <c r="A537" s="94"/>
      <c r="B537" s="94"/>
      <c r="C537" s="94"/>
      <c r="D537" s="94"/>
      <c r="E537" s="94"/>
      <c r="F537" s="94"/>
      <c r="G537" s="94"/>
    </row>
    <row r="538" spans="1:7" ht="15" customHeight="1">
      <c r="A538" s="94"/>
      <c r="B538" s="94"/>
      <c r="C538" s="94"/>
      <c r="D538" s="94"/>
      <c r="E538" s="94"/>
      <c r="F538" s="94"/>
      <c r="G538" s="94"/>
    </row>
    <row r="539" spans="1:7" ht="15" customHeight="1">
      <c r="A539" s="94"/>
      <c r="B539" s="94"/>
      <c r="C539" s="94"/>
      <c r="D539" s="94"/>
      <c r="E539" s="94"/>
      <c r="F539" s="94"/>
      <c r="G539" s="94"/>
    </row>
    <row r="540" spans="1:7" ht="15" customHeight="1">
      <c r="A540" s="94"/>
      <c r="B540" s="94"/>
      <c r="C540" s="94"/>
      <c r="D540" s="94"/>
      <c r="E540" s="94"/>
      <c r="F540" s="94"/>
      <c r="G540" s="94"/>
    </row>
    <row r="541" spans="1:7" ht="15" customHeight="1">
      <c r="A541" s="94"/>
      <c r="B541" s="94"/>
      <c r="C541" s="94"/>
      <c r="D541" s="94"/>
      <c r="E541" s="94"/>
      <c r="F541" s="94"/>
      <c r="G541" s="94"/>
    </row>
    <row r="542" spans="1:7" ht="15" customHeight="1">
      <c r="A542" s="94"/>
      <c r="B542" s="94"/>
      <c r="C542" s="94"/>
      <c r="D542" s="94"/>
      <c r="E542" s="94"/>
      <c r="F542" s="94"/>
      <c r="G542" s="94"/>
    </row>
    <row r="543" spans="1:7" ht="15" customHeight="1">
      <c r="A543" s="94"/>
      <c r="B543" s="94"/>
      <c r="C543" s="94"/>
      <c r="D543" s="94"/>
      <c r="E543" s="94"/>
      <c r="F543" s="94"/>
      <c r="G543" s="94"/>
    </row>
    <row r="544" spans="1:7" ht="15" customHeight="1">
      <c r="A544" s="94"/>
      <c r="B544" s="94"/>
      <c r="C544" s="94"/>
      <c r="D544" s="94"/>
      <c r="E544" s="94"/>
      <c r="F544" s="94"/>
      <c r="G544" s="94"/>
    </row>
    <row r="545" spans="1:7" ht="15" customHeight="1">
      <c r="A545" s="94"/>
      <c r="B545" s="94"/>
      <c r="C545" s="94"/>
      <c r="D545" s="94"/>
      <c r="E545" s="94"/>
      <c r="F545" s="94"/>
      <c r="G545" s="94"/>
    </row>
    <row r="546" spans="1:7" ht="15" customHeight="1">
      <c r="A546" s="94"/>
      <c r="B546" s="94"/>
      <c r="C546" s="94"/>
      <c r="D546" s="94"/>
      <c r="E546" s="94"/>
      <c r="F546" s="94"/>
      <c r="G546" s="94"/>
    </row>
    <row r="547" spans="1:7" ht="15" customHeight="1">
      <c r="A547" s="94"/>
      <c r="B547" s="94"/>
      <c r="C547" s="94"/>
      <c r="D547" s="94"/>
      <c r="E547" s="94"/>
      <c r="F547" s="94"/>
      <c r="G547" s="94"/>
    </row>
    <row r="548" spans="1:7" ht="15" customHeight="1">
      <c r="A548" s="94"/>
      <c r="B548" s="94"/>
      <c r="C548" s="94"/>
      <c r="D548" s="94"/>
      <c r="E548" s="94"/>
      <c r="F548" s="94"/>
      <c r="G548" s="94"/>
    </row>
    <row r="549" spans="1:7" ht="15" customHeight="1">
      <c r="A549" s="94"/>
      <c r="B549" s="94"/>
      <c r="C549" s="94"/>
      <c r="D549" s="94"/>
      <c r="E549" s="94"/>
      <c r="F549" s="94"/>
      <c r="G549" s="94"/>
    </row>
    <row r="550" spans="1:7" ht="15" customHeight="1">
      <c r="A550" s="94"/>
      <c r="B550" s="94"/>
      <c r="C550" s="94"/>
      <c r="D550" s="94"/>
      <c r="E550" s="94"/>
      <c r="F550" s="94"/>
      <c r="G550" s="94"/>
    </row>
    <row r="551" spans="1:7" ht="15" customHeight="1">
      <c r="A551" s="94"/>
      <c r="B551" s="94"/>
      <c r="C551" s="94"/>
      <c r="D551" s="94"/>
      <c r="E551" s="94"/>
      <c r="F551" s="94"/>
      <c r="G551" s="94"/>
    </row>
    <row r="552" spans="1:7" ht="15" customHeight="1">
      <c r="A552" s="94"/>
      <c r="B552" s="94"/>
      <c r="C552" s="94"/>
      <c r="D552" s="94"/>
      <c r="E552" s="94"/>
      <c r="F552" s="94"/>
      <c r="G552" s="94"/>
    </row>
    <row r="553" spans="1:7" ht="15" customHeight="1">
      <c r="A553" s="94"/>
      <c r="B553" s="94"/>
      <c r="C553" s="94"/>
      <c r="D553" s="94"/>
      <c r="E553" s="94"/>
      <c r="F553" s="94"/>
      <c r="G553" s="94"/>
    </row>
    <row r="554" spans="1:7" ht="15" customHeight="1">
      <c r="A554" s="94"/>
      <c r="B554" s="94"/>
      <c r="C554" s="94"/>
      <c r="D554" s="94"/>
      <c r="E554" s="94"/>
      <c r="F554" s="94"/>
      <c r="G554" s="94"/>
    </row>
    <row r="555" spans="1:7" ht="15" customHeight="1">
      <c r="A555" s="94"/>
      <c r="B555" s="94"/>
      <c r="C555" s="94"/>
      <c r="D555" s="94"/>
      <c r="E555" s="94"/>
      <c r="F555" s="94"/>
      <c r="G555" s="94"/>
    </row>
    <row r="556" spans="1:7" ht="15" customHeight="1">
      <c r="A556" s="94"/>
      <c r="B556" s="94"/>
      <c r="C556" s="94"/>
      <c r="D556" s="94"/>
      <c r="E556" s="94"/>
      <c r="F556" s="94"/>
      <c r="G556" s="94"/>
    </row>
    <row r="557" spans="1:7" ht="15" customHeight="1">
      <c r="A557" s="94"/>
      <c r="B557" s="94"/>
      <c r="C557" s="94"/>
      <c r="D557" s="94"/>
      <c r="E557" s="94"/>
      <c r="F557" s="94"/>
      <c r="G557" s="94"/>
    </row>
    <row r="558" spans="1:7" ht="15" customHeight="1">
      <c r="A558" s="94"/>
      <c r="B558" s="94"/>
      <c r="C558" s="94"/>
      <c r="D558" s="94"/>
      <c r="E558" s="94"/>
      <c r="F558" s="94"/>
      <c r="G558" s="94"/>
    </row>
    <row r="559" spans="1:7" ht="15" customHeight="1">
      <c r="A559" s="94"/>
      <c r="B559" s="94"/>
      <c r="C559" s="94"/>
      <c r="D559" s="94"/>
      <c r="E559" s="94"/>
      <c r="F559" s="94"/>
      <c r="G559" s="94"/>
    </row>
    <row r="560" spans="1:7" ht="15" customHeight="1">
      <c r="A560" s="94"/>
      <c r="B560" s="94"/>
      <c r="C560" s="94"/>
      <c r="D560" s="94"/>
      <c r="E560" s="94"/>
      <c r="F560" s="94"/>
      <c r="G560" s="94"/>
    </row>
    <row r="561" spans="1:7" ht="15" customHeight="1">
      <c r="A561" s="94"/>
      <c r="B561" s="94"/>
      <c r="C561" s="94"/>
      <c r="D561" s="94"/>
      <c r="E561" s="94"/>
      <c r="F561" s="94"/>
      <c r="G561" s="94"/>
    </row>
    <row r="562" spans="1:7" ht="15" customHeight="1">
      <c r="A562" s="94"/>
      <c r="B562" s="94"/>
      <c r="C562" s="94"/>
      <c r="D562" s="94"/>
      <c r="E562" s="94"/>
      <c r="F562" s="94"/>
      <c r="G562" s="94"/>
    </row>
    <row r="563" spans="1:7" ht="15" customHeight="1">
      <c r="A563" s="94"/>
      <c r="B563" s="94"/>
      <c r="C563" s="94"/>
      <c r="D563" s="94"/>
      <c r="E563" s="94"/>
      <c r="F563" s="94"/>
      <c r="G563" s="94"/>
    </row>
    <row r="564" spans="1:7" ht="15" customHeight="1">
      <c r="A564" s="94"/>
      <c r="B564" s="94"/>
      <c r="C564" s="94"/>
      <c r="D564" s="94"/>
      <c r="E564" s="94"/>
      <c r="F564" s="94"/>
      <c r="G564" s="94"/>
    </row>
    <row r="565" spans="1:7" ht="15" customHeight="1">
      <c r="A565" s="94"/>
      <c r="B565" s="94"/>
      <c r="C565" s="94"/>
      <c r="D565" s="94"/>
      <c r="E565" s="94"/>
      <c r="F565" s="94"/>
      <c r="G565" s="94"/>
    </row>
    <row r="566" spans="1:7" ht="15" customHeight="1">
      <c r="A566" s="94"/>
      <c r="B566" s="94"/>
      <c r="C566" s="94"/>
      <c r="D566" s="94"/>
      <c r="E566" s="94"/>
      <c r="F566" s="94"/>
      <c r="G566" s="94"/>
    </row>
    <row r="567" spans="1:7" ht="15" customHeight="1">
      <c r="A567" s="94"/>
      <c r="B567" s="94"/>
      <c r="C567" s="94"/>
      <c r="D567" s="94"/>
      <c r="E567" s="94"/>
      <c r="F567" s="94"/>
      <c r="G567" s="94"/>
    </row>
    <row r="568" spans="1:7" ht="15" customHeight="1">
      <c r="A568" s="94"/>
      <c r="B568" s="94"/>
      <c r="C568" s="94"/>
      <c r="D568" s="94"/>
      <c r="E568" s="94"/>
      <c r="F568" s="94"/>
      <c r="G568" s="94"/>
    </row>
    <row r="569" spans="1:7" ht="15" customHeight="1">
      <c r="A569" s="94"/>
      <c r="B569" s="94"/>
      <c r="C569" s="94"/>
      <c r="D569" s="94"/>
      <c r="E569" s="94"/>
      <c r="F569" s="94"/>
      <c r="G569" s="94"/>
    </row>
    <row r="570" spans="1:7" ht="15" customHeight="1">
      <c r="A570" s="94"/>
      <c r="B570" s="94"/>
      <c r="C570" s="94"/>
      <c r="D570" s="94"/>
      <c r="E570" s="94"/>
      <c r="F570" s="94"/>
      <c r="G570" s="94"/>
    </row>
    <row r="571" spans="1:7" ht="15" customHeight="1">
      <c r="A571" s="94"/>
      <c r="B571" s="94"/>
      <c r="C571" s="94"/>
      <c r="D571" s="94"/>
      <c r="E571" s="94"/>
      <c r="F571" s="94"/>
      <c r="G571" s="94"/>
    </row>
    <row r="572" spans="1:7" ht="15" customHeight="1">
      <c r="A572" s="94"/>
      <c r="B572" s="94"/>
      <c r="C572" s="94"/>
      <c r="D572" s="94"/>
      <c r="E572" s="94"/>
      <c r="F572" s="94"/>
      <c r="G572" s="94"/>
    </row>
    <row r="573" spans="1:7" ht="15" customHeight="1">
      <c r="A573" s="94"/>
      <c r="B573" s="94"/>
      <c r="C573" s="94"/>
      <c r="D573" s="94"/>
      <c r="E573" s="94"/>
      <c r="F573" s="94"/>
      <c r="G573" s="94"/>
    </row>
    <row r="574" spans="1:7" ht="15" customHeight="1">
      <c r="A574" s="94"/>
      <c r="B574" s="94"/>
      <c r="C574" s="94"/>
      <c r="D574" s="94"/>
      <c r="E574" s="94"/>
      <c r="F574" s="94"/>
      <c r="G574" s="94"/>
    </row>
    <row r="575" spans="1:7" ht="15" customHeight="1">
      <c r="A575" s="94"/>
      <c r="B575" s="94"/>
      <c r="C575" s="94"/>
      <c r="D575" s="94"/>
      <c r="E575" s="94"/>
      <c r="F575" s="94"/>
      <c r="G575" s="94"/>
    </row>
    <row r="576" spans="1:7" ht="15" customHeight="1">
      <c r="A576" s="94"/>
      <c r="B576" s="94"/>
      <c r="C576" s="94"/>
      <c r="D576" s="94"/>
      <c r="E576" s="94"/>
      <c r="F576" s="94"/>
      <c r="G576" s="94"/>
    </row>
    <row r="577" spans="1:7" ht="15" customHeight="1">
      <c r="A577" s="94"/>
      <c r="B577" s="94"/>
      <c r="C577" s="94"/>
      <c r="D577" s="94"/>
      <c r="E577" s="94"/>
      <c r="F577" s="94"/>
      <c r="G577" s="94"/>
    </row>
    <row r="578" spans="1:7" ht="15" customHeight="1">
      <c r="A578" s="94"/>
      <c r="B578" s="94"/>
      <c r="C578" s="94"/>
      <c r="D578" s="94"/>
      <c r="E578" s="94"/>
      <c r="F578" s="94"/>
      <c r="G578" s="94"/>
    </row>
    <row r="579" spans="1:7" ht="15" customHeight="1">
      <c r="A579" s="94"/>
      <c r="B579" s="94"/>
      <c r="C579" s="94"/>
      <c r="D579" s="94"/>
      <c r="E579" s="94"/>
      <c r="F579" s="94"/>
      <c r="G579" s="94"/>
    </row>
    <row r="580" spans="1:7" ht="15" customHeight="1">
      <c r="A580" s="94"/>
      <c r="B580" s="94"/>
      <c r="C580" s="94"/>
      <c r="D580" s="94"/>
      <c r="E580" s="94"/>
      <c r="F580" s="94"/>
      <c r="G580" s="94"/>
    </row>
    <row r="581" spans="1:7" ht="15" customHeight="1">
      <c r="A581" s="94"/>
      <c r="B581" s="94"/>
      <c r="C581" s="94"/>
      <c r="D581" s="94"/>
      <c r="E581" s="94"/>
      <c r="F581" s="94"/>
      <c r="G581" s="94"/>
    </row>
    <row r="582" spans="1:7" ht="15" customHeight="1">
      <c r="A582" s="94"/>
      <c r="B582" s="94"/>
      <c r="C582" s="94"/>
      <c r="D582" s="94"/>
      <c r="E582" s="94"/>
      <c r="F582" s="94"/>
      <c r="G582" s="94"/>
    </row>
    <row r="583" spans="1:7" ht="15" customHeight="1">
      <c r="A583" s="94"/>
      <c r="B583" s="94"/>
      <c r="C583" s="94"/>
      <c r="D583" s="94"/>
      <c r="E583" s="94"/>
      <c r="F583" s="94"/>
      <c r="G583" s="94"/>
    </row>
    <row r="584" spans="1:7" ht="15" customHeight="1">
      <c r="A584" s="94"/>
      <c r="B584" s="94"/>
      <c r="C584" s="94"/>
      <c r="D584" s="94"/>
      <c r="E584" s="94"/>
      <c r="F584" s="94"/>
      <c r="G584" s="94"/>
    </row>
    <row r="585" spans="1:7" ht="15" customHeight="1">
      <c r="A585" s="94"/>
      <c r="B585" s="94"/>
      <c r="C585" s="94"/>
      <c r="D585" s="94"/>
      <c r="E585" s="94"/>
      <c r="F585" s="94"/>
      <c r="G585" s="94"/>
    </row>
    <row r="586" spans="1:7" ht="15" customHeight="1">
      <c r="A586" s="94"/>
      <c r="B586" s="94"/>
      <c r="C586" s="94"/>
      <c r="D586" s="94"/>
      <c r="E586" s="94"/>
      <c r="F586" s="94"/>
      <c r="G586" s="94"/>
    </row>
    <row r="587" spans="1:7" ht="15" customHeight="1">
      <c r="A587" s="94"/>
      <c r="B587" s="94"/>
      <c r="C587" s="94"/>
      <c r="D587" s="94"/>
      <c r="E587" s="94"/>
      <c r="F587" s="94"/>
      <c r="G587" s="94"/>
    </row>
    <row r="588" spans="1:7" ht="15" customHeight="1">
      <c r="A588" s="94"/>
      <c r="B588" s="94"/>
      <c r="C588" s="94"/>
      <c r="D588" s="94"/>
      <c r="E588" s="94"/>
      <c r="F588" s="94"/>
      <c r="G588" s="94"/>
    </row>
    <row r="589" spans="1:7" ht="15" customHeight="1">
      <c r="A589" s="94"/>
      <c r="B589" s="94"/>
      <c r="C589" s="94"/>
      <c r="D589" s="94"/>
      <c r="E589" s="94"/>
      <c r="F589" s="94"/>
      <c r="G589" s="94"/>
    </row>
    <row r="590" spans="1:7" ht="15" customHeight="1">
      <c r="A590" s="94"/>
      <c r="B590" s="94"/>
      <c r="C590" s="94"/>
      <c r="D590" s="94"/>
      <c r="E590" s="94"/>
      <c r="F590" s="94"/>
      <c r="G590" s="94"/>
    </row>
    <row r="591" spans="1:7" ht="15" customHeight="1">
      <c r="A591" s="94"/>
      <c r="B591" s="94"/>
      <c r="C591" s="94"/>
      <c r="D591" s="94"/>
      <c r="E591" s="94"/>
      <c r="F591" s="94"/>
      <c r="G591" s="94"/>
    </row>
    <row r="592" spans="1:7" ht="15" customHeight="1">
      <c r="A592" s="94"/>
      <c r="B592" s="94"/>
      <c r="C592" s="94"/>
      <c r="D592" s="94"/>
      <c r="E592" s="94"/>
      <c r="F592" s="94"/>
      <c r="G592" s="94"/>
    </row>
    <row r="593" spans="1:7" ht="15" customHeight="1">
      <c r="A593" s="94"/>
      <c r="B593" s="94"/>
      <c r="C593" s="94"/>
      <c r="D593" s="94"/>
      <c r="E593" s="94"/>
      <c r="F593" s="94"/>
      <c r="G593" s="94"/>
    </row>
    <row r="594" spans="1:7" ht="15" customHeight="1">
      <c r="A594" s="94"/>
      <c r="B594" s="94"/>
      <c r="C594" s="94"/>
      <c r="D594" s="94"/>
      <c r="E594" s="94"/>
      <c r="F594" s="94"/>
      <c r="G594" s="94"/>
    </row>
    <row r="595" spans="1:7" ht="15" customHeight="1">
      <c r="A595" s="94"/>
      <c r="B595" s="94"/>
      <c r="C595" s="94"/>
      <c r="D595" s="94"/>
      <c r="E595" s="94"/>
      <c r="F595" s="94"/>
      <c r="G595" s="94"/>
    </row>
    <row r="596" spans="1:7" ht="15" customHeight="1">
      <c r="A596" s="94"/>
      <c r="B596" s="94"/>
      <c r="C596" s="94"/>
      <c r="D596" s="94"/>
      <c r="E596" s="94"/>
      <c r="F596" s="94"/>
      <c r="G596" s="94"/>
    </row>
    <row r="597" spans="1:7" ht="15" customHeight="1">
      <c r="A597" s="94"/>
      <c r="B597" s="94"/>
      <c r="C597" s="94"/>
      <c r="D597" s="94"/>
      <c r="E597" s="94"/>
      <c r="F597" s="94"/>
      <c r="G597" s="94"/>
    </row>
    <row r="598" spans="1:7" ht="15" customHeight="1">
      <c r="A598" s="94"/>
      <c r="B598" s="94"/>
      <c r="C598" s="94"/>
      <c r="D598" s="94"/>
      <c r="E598" s="94"/>
      <c r="F598" s="94"/>
      <c r="G598" s="94"/>
    </row>
    <row r="599" spans="1:7" ht="15" customHeight="1">
      <c r="A599" s="94"/>
      <c r="B599" s="94"/>
      <c r="C599" s="94"/>
      <c r="D599" s="94"/>
      <c r="E599" s="94"/>
      <c r="F599" s="94"/>
      <c r="G599" s="94"/>
    </row>
    <row r="600" spans="1:7" ht="15" customHeight="1">
      <c r="A600" s="94"/>
      <c r="B600" s="94"/>
      <c r="C600" s="94"/>
      <c r="D600" s="94"/>
      <c r="E600" s="94"/>
      <c r="F600" s="94"/>
      <c r="G600" s="94"/>
    </row>
    <row r="601" spans="1:7" ht="15" customHeight="1">
      <c r="A601" s="94"/>
      <c r="B601" s="94"/>
      <c r="C601" s="94"/>
      <c r="D601" s="94"/>
      <c r="E601" s="94"/>
      <c r="F601" s="94"/>
      <c r="G601" s="94"/>
    </row>
    <row r="602" spans="1:7" ht="15" customHeight="1">
      <c r="A602" s="94"/>
      <c r="B602" s="94"/>
      <c r="C602" s="94"/>
      <c r="D602" s="94"/>
      <c r="E602" s="94"/>
      <c r="F602" s="94"/>
      <c r="G602" s="94"/>
    </row>
    <row r="603" spans="1:7" ht="15" customHeight="1">
      <c r="A603" s="94"/>
      <c r="B603" s="94"/>
      <c r="C603" s="94"/>
      <c r="D603" s="94"/>
      <c r="E603" s="94"/>
      <c r="F603" s="94"/>
      <c r="G603" s="94"/>
    </row>
    <row r="604" spans="1:7" ht="15" customHeight="1">
      <c r="A604" s="94"/>
      <c r="B604" s="94"/>
      <c r="C604" s="94"/>
      <c r="D604" s="94"/>
      <c r="E604" s="94"/>
      <c r="F604" s="94"/>
      <c r="G604" s="94"/>
    </row>
    <row r="605" spans="1:7" ht="15" customHeight="1">
      <c r="A605" s="94"/>
      <c r="B605" s="94"/>
      <c r="C605" s="94"/>
      <c r="D605" s="94"/>
      <c r="E605" s="94"/>
      <c r="F605" s="94"/>
      <c r="G605" s="94"/>
    </row>
    <row r="606" spans="1:7" ht="15" customHeight="1">
      <c r="A606" s="94"/>
      <c r="B606" s="94"/>
      <c r="C606" s="94"/>
      <c r="D606" s="94"/>
      <c r="E606" s="94"/>
      <c r="F606" s="94"/>
      <c r="G606" s="94"/>
    </row>
    <row r="607" spans="1:7" ht="15" customHeight="1">
      <c r="A607" s="94"/>
      <c r="B607" s="94"/>
      <c r="C607" s="94"/>
      <c r="D607" s="94"/>
      <c r="E607" s="94"/>
      <c r="F607" s="94"/>
      <c r="G607" s="94"/>
    </row>
    <row r="608" spans="1:7" ht="15" customHeight="1">
      <c r="A608" s="94"/>
      <c r="B608" s="94"/>
      <c r="C608" s="94"/>
      <c r="D608" s="94"/>
      <c r="E608" s="94"/>
      <c r="F608" s="94"/>
      <c r="G608" s="94"/>
    </row>
    <row r="609" spans="1:7" ht="15" customHeight="1">
      <c r="A609" s="94"/>
      <c r="B609" s="94"/>
      <c r="C609" s="94"/>
      <c r="D609" s="94"/>
      <c r="E609" s="94"/>
      <c r="F609" s="94"/>
      <c r="G609" s="94"/>
    </row>
    <row r="610" spans="1:7" ht="15" customHeight="1">
      <c r="A610" s="94"/>
      <c r="B610" s="94"/>
      <c r="C610" s="94"/>
      <c r="D610" s="94"/>
      <c r="E610" s="94"/>
      <c r="F610" s="94"/>
      <c r="G610" s="94"/>
    </row>
    <row r="611" spans="1:7" ht="15" customHeight="1">
      <c r="A611" s="94"/>
      <c r="B611" s="94"/>
      <c r="C611" s="94"/>
      <c r="D611" s="94"/>
      <c r="E611" s="94"/>
      <c r="F611" s="94"/>
      <c r="G611" s="94"/>
    </row>
    <row r="612" spans="1:7" ht="15" customHeight="1">
      <c r="A612" s="94"/>
      <c r="B612" s="94"/>
      <c r="C612" s="94"/>
      <c r="D612" s="94"/>
      <c r="E612" s="94"/>
      <c r="F612" s="94"/>
      <c r="G612" s="94"/>
    </row>
    <row r="613" spans="1:7" ht="15" customHeight="1">
      <c r="A613" s="94"/>
      <c r="B613" s="94"/>
      <c r="C613" s="94"/>
      <c r="D613" s="94"/>
      <c r="E613" s="94"/>
      <c r="F613" s="94"/>
      <c r="G613" s="94"/>
    </row>
    <row r="614" spans="1:7" ht="15" customHeight="1">
      <c r="A614" s="94"/>
      <c r="B614" s="94"/>
      <c r="C614" s="94"/>
      <c r="D614" s="94"/>
      <c r="E614" s="94"/>
      <c r="F614" s="94"/>
      <c r="G614" s="94"/>
    </row>
    <row r="615" spans="1:7" ht="15" customHeight="1">
      <c r="A615" s="94"/>
      <c r="B615" s="94"/>
      <c r="C615" s="94"/>
      <c r="D615" s="94"/>
      <c r="E615" s="94"/>
      <c r="F615" s="94"/>
      <c r="G615" s="94"/>
    </row>
    <row r="616" spans="1:7" ht="15" customHeight="1">
      <c r="A616" s="94"/>
      <c r="B616" s="94"/>
      <c r="C616" s="94"/>
      <c r="D616" s="94"/>
      <c r="E616" s="94"/>
      <c r="F616" s="94"/>
      <c r="G616" s="94"/>
    </row>
    <row r="617" spans="1:7" ht="15" customHeight="1">
      <c r="A617" s="94"/>
      <c r="B617" s="94"/>
      <c r="C617" s="94"/>
      <c r="D617" s="94"/>
      <c r="E617" s="94"/>
      <c r="F617" s="94"/>
      <c r="G617" s="94"/>
    </row>
    <row r="618" spans="1:7" ht="15" customHeight="1">
      <c r="A618" s="94"/>
      <c r="B618" s="94"/>
      <c r="C618" s="94"/>
      <c r="D618" s="94"/>
      <c r="E618" s="94"/>
      <c r="F618" s="94"/>
      <c r="G618" s="94"/>
    </row>
    <row r="619" spans="1:7" ht="15" customHeight="1">
      <c r="A619" s="94"/>
      <c r="B619" s="94"/>
      <c r="C619" s="94"/>
      <c r="D619" s="94"/>
      <c r="E619" s="94"/>
      <c r="F619" s="94"/>
      <c r="G619" s="94"/>
    </row>
    <row r="620" spans="1:7" ht="15" customHeight="1">
      <c r="A620" s="94"/>
      <c r="B620" s="94"/>
      <c r="C620" s="94"/>
      <c r="D620" s="94"/>
      <c r="E620" s="94"/>
      <c r="F620" s="94"/>
      <c r="G620" s="94"/>
    </row>
    <row r="621" spans="1:7" ht="15" customHeight="1">
      <c r="A621" s="94"/>
      <c r="B621" s="94"/>
      <c r="C621" s="94"/>
      <c r="D621" s="94"/>
      <c r="E621" s="94"/>
      <c r="F621" s="94"/>
      <c r="G621" s="94"/>
    </row>
    <row r="622" spans="1:7" ht="15" customHeight="1">
      <c r="A622" s="94"/>
      <c r="B622" s="94"/>
      <c r="C622" s="94"/>
      <c r="D622" s="94"/>
      <c r="E622" s="94"/>
      <c r="F622" s="94"/>
      <c r="G622" s="94"/>
    </row>
    <row r="623" spans="1:7" ht="15" customHeight="1">
      <c r="A623" s="94"/>
      <c r="B623" s="94"/>
      <c r="C623" s="94"/>
      <c r="D623" s="94"/>
      <c r="E623" s="94"/>
      <c r="F623" s="94"/>
      <c r="G623" s="94"/>
    </row>
    <row r="624" spans="1:7" ht="15" customHeight="1">
      <c r="A624" s="94"/>
      <c r="B624" s="94"/>
      <c r="C624" s="94"/>
      <c r="D624" s="94"/>
      <c r="E624" s="94"/>
      <c r="F624" s="94"/>
      <c r="G624" s="94"/>
    </row>
    <row r="625" spans="1:7" ht="15" customHeight="1">
      <c r="A625" s="94"/>
      <c r="B625" s="94"/>
      <c r="C625" s="94"/>
      <c r="D625" s="94"/>
      <c r="E625" s="94"/>
      <c r="F625" s="94"/>
      <c r="G625" s="94"/>
    </row>
    <row r="626" spans="1:7" ht="15" customHeight="1">
      <c r="A626" s="94"/>
      <c r="B626" s="94"/>
      <c r="C626" s="94"/>
      <c r="D626" s="94"/>
      <c r="E626" s="94"/>
      <c r="F626" s="94"/>
      <c r="G626" s="94"/>
    </row>
    <row r="627" spans="1:7" ht="15" customHeight="1">
      <c r="A627" s="94"/>
      <c r="B627" s="94"/>
      <c r="C627" s="94"/>
      <c r="D627" s="94"/>
      <c r="E627" s="94"/>
      <c r="F627" s="94"/>
      <c r="G627" s="94"/>
    </row>
    <row r="628" spans="1:7" ht="15" customHeight="1">
      <c r="A628" s="94"/>
      <c r="B628" s="94"/>
      <c r="C628" s="94"/>
      <c r="D628" s="94"/>
      <c r="E628" s="94"/>
      <c r="F628" s="94"/>
      <c r="G628" s="94"/>
    </row>
    <row r="629" spans="1:7" ht="15" customHeight="1">
      <c r="A629" s="94"/>
      <c r="B629" s="94"/>
      <c r="C629" s="94"/>
      <c r="D629" s="94"/>
      <c r="E629" s="94"/>
      <c r="F629" s="94"/>
      <c r="G629" s="94"/>
    </row>
    <row r="630" spans="1:7" ht="15" customHeight="1">
      <c r="A630" s="94"/>
      <c r="B630" s="94"/>
      <c r="C630" s="94"/>
      <c r="D630" s="94"/>
      <c r="E630" s="94"/>
      <c r="F630" s="94"/>
      <c r="G630" s="94"/>
    </row>
    <row r="631" spans="1:7" ht="15" customHeight="1">
      <c r="A631" s="94"/>
      <c r="B631" s="94"/>
      <c r="C631" s="94"/>
      <c r="D631" s="94"/>
      <c r="E631" s="94"/>
      <c r="F631" s="94"/>
      <c r="G631" s="94"/>
    </row>
    <row r="632" spans="1:7" ht="15" customHeight="1">
      <c r="A632" s="94"/>
      <c r="B632" s="94"/>
      <c r="C632" s="94"/>
      <c r="D632" s="94"/>
      <c r="E632" s="94"/>
      <c r="F632" s="94"/>
      <c r="G632" s="94"/>
    </row>
    <row r="633" spans="1:7" ht="15" customHeight="1">
      <c r="A633" s="94"/>
      <c r="B633" s="94"/>
      <c r="C633" s="94"/>
      <c r="D633" s="94"/>
      <c r="E633" s="94"/>
      <c r="F633" s="94"/>
      <c r="G633" s="94"/>
    </row>
    <row r="634" spans="1:7" ht="15" customHeight="1">
      <c r="A634" s="94"/>
      <c r="B634" s="94"/>
      <c r="C634" s="94"/>
      <c r="D634" s="94"/>
      <c r="E634" s="94"/>
      <c r="F634" s="94"/>
      <c r="G634" s="94"/>
    </row>
    <row r="635" spans="1:7" ht="15" customHeight="1">
      <c r="A635" s="94"/>
      <c r="B635" s="94"/>
      <c r="C635" s="94"/>
      <c r="D635" s="94"/>
      <c r="E635" s="94"/>
      <c r="F635" s="94"/>
      <c r="G635" s="94"/>
    </row>
    <row r="636" spans="1:7" ht="15" customHeight="1">
      <c r="A636" s="94"/>
      <c r="B636" s="94"/>
      <c r="C636" s="94"/>
      <c r="D636" s="94"/>
      <c r="E636" s="94"/>
      <c r="F636" s="94"/>
      <c r="G636" s="94"/>
    </row>
    <row r="637" spans="1:7" ht="15" customHeight="1">
      <c r="A637" s="94"/>
      <c r="B637" s="94"/>
      <c r="C637" s="94"/>
      <c r="D637" s="94"/>
      <c r="E637" s="94"/>
      <c r="F637" s="94"/>
      <c r="G637" s="94"/>
    </row>
    <row r="638" spans="1:7" ht="15" customHeight="1">
      <c r="A638" s="94"/>
      <c r="B638" s="94"/>
      <c r="C638" s="94"/>
      <c r="D638" s="94"/>
      <c r="E638" s="94"/>
      <c r="F638" s="94"/>
      <c r="G638" s="94"/>
    </row>
    <row r="639" spans="1:7" ht="15" customHeight="1">
      <c r="A639" s="94"/>
      <c r="B639" s="94"/>
      <c r="C639" s="94"/>
      <c r="D639" s="94"/>
      <c r="E639" s="94"/>
      <c r="F639" s="94"/>
      <c r="G639" s="94"/>
    </row>
    <row r="640" spans="1:7" ht="15" customHeight="1">
      <c r="A640" s="94"/>
      <c r="B640" s="94"/>
      <c r="C640" s="94"/>
      <c r="D640" s="94"/>
      <c r="E640" s="94"/>
      <c r="F640" s="94"/>
      <c r="G640" s="94"/>
    </row>
    <row r="641" spans="1:7" ht="15" customHeight="1">
      <c r="A641" s="94"/>
      <c r="B641" s="94"/>
      <c r="C641" s="94"/>
      <c r="D641" s="94"/>
      <c r="E641" s="94"/>
      <c r="F641" s="94"/>
      <c r="G641" s="94"/>
    </row>
    <row r="642" spans="1:7" ht="15" customHeight="1">
      <c r="A642" s="94"/>
      <c r="B642" s="94"/>
      <c r="C642" s="94"/>
      <c r="D642" s="94"/>
      <c r="E642" s="94"/>
      <c r="F642" s="94"/>
      <c r="G642" s="94"/>
    </row>
    <row r="643" spans="1:7" ht="15" customHeight="1">
      <c r="A643" s="94"/>
      <c r="B643" s="94"/>
      <c r="C643" s="94"/>
      <c r="D643" s="94"/>
      <c r="E643" s="94"/>
      <c r="F643" s="94"/>
      <c r="G643" s="94"/>
    </row>
    <row r="644" spans="1:7" ht="15" customHeight="1">
      <c r="A644" s="94"/>
      <c r="B644" s="94"/>
      <c r="C644" s="94"/>
      <c r="D644" s="94"/>
      <c r="E644" s="94"/>
      <c r="F644" s="94"/>
      <c r="G644" s="94"/>
    </row>
    <row r="645" spans="1:7" ht="15" customHeight="1">
      <c r="A645" s="94"/>
      <c r="B645" s="94"/>
      <c r="C645" s="94"/>
      <c r="D645" s="94"/>
      <c r="E645" s="94"/>
      <c r="F645" s="94"/>
      <c r="G645" s="94"/>
    </row>
    <row r="646" spans="1:7" ht="15" customHeight="1">
      <c r="A646" s="94"/>
      <c r="B646" s="94"/>
      <c r="C646" s="94"/>
      <c r="D646" s="94"/>
      <c r="E646" s="94"/>
      <c r="F646" s="94"/>
      <c r="G646" s="94"/>
    </row>
    <row r="647" spans="1:7" ht="15" customHeight="1">
      <c r="A647" s="94"/>
      <c r="B647" s="94"/>
      <c r="C647" s="94"/>
      <c r="D647" s="94"/>
      <c r="E647" s="94"/>
      <c r="F647" s="94"/>
      <c r="G647" s="94"/>
    </row>
    <row r="648" spans="1:7" ht="15" customHeight="1">
      <c r="A648" s="94"/>
      <c r="B648" s="94"/>
      <c r="C648" s="94"/>
      <c r="D648" s="94"/>
      <c r="E648" s="94"/>
      <c r="F648" s="94"/>
      <c r="G648" s="94"/>
    </row>
    <row r="649" spans="1:7" ht="15" customHeight="1">
      <c r="A649" s="94"/>
      <c r="B649" s="94"/>
      <c r="C649" s="94"/>
      <c r="D649" s="94"/>
      <c r="E649" s="94"/>
      <c r="F649" s="94"/>
      <c r="G649" s="94"/>
    </row>
    <row r="650" spans="1:7" ht="15" customHeight="1">
      <c r="A650" s="94"/>
      <c r="B650" s="94"/>
      <c r="C650" s="94"/>
      <c r="D650" s="94"/>
      <c r="E650" s="94"/>
      <c r="F650" s="94"/>
      <c r="G650" s="94"/>
    </row>
    <row r="651" spans="1:7" ht="15" customHeight="1">
      <c r="A651" s="94"/>
      <c r="B651" s="94"/>
      <c r="C651" s="94"/>
      <c r="D651" s="94"/>
      <c r="E651" s="94"/>
      <c r="F651" s="94"/>
      <c r="G651" s="94"/>
    </row>
    <row r="652" spans="1:7" ht="15" customHeight="1">
      <c r="A652" s="94"/>
      <c r="B652" s="94"/>
      <c r="C652" s="94"/>
      <c r="D652" s="94"/>
      <c r="E652" s="94"/>
      <c r="F652" s="94"/>
      <c r="G652" s="94"/>
    </row>
    <row r="653" spans="1:7" ht="15" customHeight="1">
      <c r="A653" s="94"/>
      <c r="B653" s="94"/>
      <c r="C653" s="94"/>
      <c r="D653" s="94"/>
      <c r="E653" s="94"/>
      <c r="F653" s="94"/>
      <c r="G653" s="94"/>
    </row>
    <row r="654" spans="1:7" ht="15" customHeight="1">
      <c r="A654" s="94"/>
      <c r="B654" s="94"/>
      <c r="C654" s="94"/>
      <c r="D654" s="94"/>
      <c r="E654" s="94"/>
      <c r="F654" s="94"/>
      <c r="G654" s="94"/>
    </row>
    <row r="655" spans="1:7" ht="15" customHeight="1">
      <c r="A655" s="94"/>
      <c r="B655" s="94"/>
      <c r="C655" s="94"/>
      <c r="D655" s="94"/>
      <c r="E655" s="94"/>
      <c r="F655" s="94"/>
      <c r="G655" s="94"/>
    </row>
    <row r="656" spans="1:7" ht="15" customHeight="1">
      <c r="A656" s="94"/>
      <c r="B656" s="94"/>
      <c r="C656" s="94"/>
      <c r="D656" s="94"/>
      <c r="E656" s="94"/>
      <c r="F656" s="94"/>
      <c r="G656" s="94"/>
    </row>
    <row r="657" spans="1:7" ht="15" customHeight="1">
      <c r="A657" s="94"/>
      <c r="B657" s="94"/>
      <c r="C657" s="94"/>
      <c r="D657" s="94"/>
      <c r="E657" s="94"/>
      <c r="F657" s="94"/>
      <c r="G657" s="94"/>
    </row>
    <row r="658" spans="1:7" ht="15" customHeight="1">
      <c r="A658" s="94"/>
      <c r="B658" s="94"/>
      <c r="C658" s="94"/>
      <c r="D658" s="94"/>
      <c r="E658" s="94"/>
      <c r="F658" s="94"/>
      <c r="G658" s="94"/>
    </row>
    <row r="659" spans="1:7" ht="15" customHeight="1">
      <c r="A659" s="94"/>
      <c r="B659" s="94"/>
      <c r="C659" s="94"/>
      <c r="D659" s="94"/>
      <c r="E659" s="94"/>
      <c r="F659" s="94"/>
      <c r="G659" s="94"/>
    </row>
    <row r="660" spans="1:7" ht="15" customHeight="1">
      <c r="A660" s="94"/>
      <c r="B660" s="94"/>
      <c r="C660" s="94"/>
      <c r="D660" s="94"/>
      <c r="E660" s="94"/>
      <c r="F660" s="94"/>
      <c r="G660" s="94"/>
    </row>
    <row r="661" spans="1:7" ht="15" customHeight="1">
      <c r="A661" s="94"/>
      <c r="B661" s="94"/>
      <c r="C661" s="94"/>
      <c r="D661" s="94"/>
      <c r="E661" s="94"/>
      <c r="F661" s="94"/>
      <c r="G661" s="94"/>
    </row>
    <row r="662" spans="1:7" ht="15" customHeight="1">
      <c r="A662" s="94"/>
      <c r="B662" s="94"/>
      <c r="C662" s="94"/>
      <c r="D662" s="94"/>
      <c r="E662" s="94"/>
      <c r="F662" s="94"/>
      <c r="G662" s="94"/>
    </row>
    <row r="663" spans="1:7" ht="15" customHeight="1">
      <c r="A663" s="94"/>
      <c r="B663" s="94"/>
      <c r="C663" s="94"/>
      <c r="D663" s="94"/>
      <c r="E663" s="94"/>
      <c r="F663" s="94"/>
      <c r="G663" s="94"/>
    </row>
    <row r="664" spans="1:7" ht="15" customHeight="1">
      <c r="A664" s="94"/>
      <c r="B664" s="94"/>
      <c r="C664" s="94"/>
      <c r="D664" s="94"/>
      <c r="E664" s="94"/>
      <c r="F664" s="94"/>
      <c r="G664" s="94"/>
    </row>
    <row r="665" spans="1:7" ht="15" customHeight="1">
      <c r="A665" s="94"/>
      <c r="B665" s="94"/>
      <c r="C665" s="94"/>
      <c r="D665" s="94"/>
      <c r="E665" s="94"/>
      <c r="F665" s="94"/>
      <c r="G665" s="94"/>
    </row>
    <row r="666" spans="1:7" ht="15" customHeight="1">
      <c r="A666" s="94"/>
      <c r="B666" s="94"/>
      <c r="C666" s="94"/>
      <c r="D666" s="94"/>
      <c r="E666" s="94"/>
      <c r="F666" s="94"/>
      <c r="G666" s="94"/>
    </row>
    <row r="667" spans="1:7" ht="15" customHeight="1">
      <c r="A667" s="94"/>
      <c r="B667" s="94"/>
      <c r="C667" s="94"/>
      <c r="D667" s="94"/>
      <c r="E667" s="94"/>
      <c r="F667" s="94"/>
      <c r="G667" s="94"/>
    </row>
    <row r="668" spans="1:7" ht="15" customHeight="1">
      <c r="A668" s="94"/>
      <c r="B668" s="94"/>
      <c r="C668" s="94"/>
      <c r="D668" s="94"/>
      <c r="E668" s="94"/>
      <c r="F668" s="94"/>
      <c r="G668" s="94"/>
    </row>
    <row r="669" spans="1:7" ht="15" customHeight="1">
      <c r="A669" s="94"/>
      <c r="B669" s="94"/>
      <c r="C669" s="94"/>
      <c r="D669" s="94"/>
      <c r="E669" s="94"/>
      <c r="F669" s="94"/>
      <c r="G669" s="94"/>
    </row>
    <row r="670" spans="1:7" ht="15" customHeight="1">
      <c r="A670" s="94"/>
      <c r="B670" s="94"/>
      <c r="C670" s="94"/>
      <c r="D670" s="94"/>
      <c r="E670" s="94"/>
      <c r="F670" s="94"/>
      <c r="G670" s="94"/>
    </row>
    <row r="671" spans="1:7" ht="15" customHeight="1">
      <c r="A671" s="94"/>
      <c r="B671" s="94"/>
      <c r="C671" s="94"/>
      <c r="D671" s="94"/>
      <c r="E671" s="94"/>
      <c r="F671" s="94"/>
      <c r="G671" s="94"/>
    </row>
    <row r="672" spans="1:7" ht="15" customHeight="1">
      <c r="A672" s="94"/>
      <c r="B672" s="94"/>
      <c r="C672" s="94"/>
      <c r="D672" s="94"/>
      <c r="E672" s="94"/>
      <c r="F672" s="94"/>
      <c r="G672" s="94"/>
    </row>
    <row r="673" spans="1:7" ht="15" customHeight="1">
      <c r="A673" s="94"/>
      <c r="B673" s="94"/>
      <c r="C673" s="94"/>
      <c r="D673" s="94"/>
      <c r="E673" s="94"/>
      <c r="F673" s="94"/>
      <c r="G673" s="94"/>
    </row>
    <row r="674" spans="1:7" ht="15" customHeight="1">
      <c r="A674" s="94"/>
      <c r="B674" s="94"/>
      <c r="C674" s="94"/>
      <c r="D674" s="94"/>
      <c r="E674" s="94"/>
      <c r="F674" s="94"/>
      <c r="G674" s="94"/>
    </row>
    <row r="675" spans="1:7" ht="15" customHeight="1">
      <c r="A675" s="94"/>
      <c r="B675" s="94"/>
      <c r="C675" s="94"/>
      <c r="D675" s="94"/>
      <c r="E675" s="94"/>
      <c r="F675" s="94"/>
      <c r="G675" s="94"/>
    </row>
    <row r="676" spans="1:7" ht="15" customHeight="1">
      <c r="A676" s="94"/>
      <c r="B676" s="94"/>
      <c r="C676" s="94"/>
      <c r="D676" s="94"/>
      <c r="E676" s="94"/>
      <c r="F676" s="94"/>
      <c r="G676" s="94"/>
    </row>
    <row r="677" spans="1:7" ht="15" customHeight="1">
      <c r="A677" s="94"/>
      <c r="B677" s="94"/>
      <c r="C677" s="94"/>
      <c r="D677" s="94"/>
      <c r="E677" s="94"/>
      <c r="F677" s="94"/>
      <c r="G677" s="94"/>
    </row>
    <row r="678" spans="1:7" ht="15" customHeight="1">
      <c r="A678" s="94"/>
      <c r="B678" s="94"/>
      <c r="C678" s="94"/>
      <c r="D678" s="94"/>
      <c r="E678" s="94"/>
      <c r="F678" s="94"/>
      <c r="G678" s="94"/>
    </row>
    <row r="679" spans="1:7" ht="15" customHeight="1">
      <c r="A679" s="94"/>
      <c r="B679" s="94"/>
      <c r="C679" s="94"/>
      <c r="D679" s="94"/>
      <c r="E679" s="94"/>
      <c r="F679" s="94"/>
      <c r="G679" s="94"/>
    </row>
    <row r="680" spans="1:7" ht="15" customHeight="1">
      <c r="A680" s="94"/>
      <c r="B680" s="94"/>
      <c r="C680" s="94"/>
      <c r="D680" s="94"/>
      <c r="E680" s="94"/>
      <c r="F680" s="94"/>
      <c r="G680" s="94"/>
    </row>
    <row r="681" spans="1:7" ht="15" customHeight="1">
      <c r="A681" s="94"/>
      <c r="B681" s="94"/>
      <c r="C681" s="94"/>
      <c r="D681" s="94"/>
      <c r="E681" s="94"/>
      <c r="F681" s="94"/>
      <c r="G681" s="94"/>
    </row>
    <row r="682" spans="1:7" ht="15" customHeight="1">
      <c r="A682" s="94"/>
      <c r="B682" s="94"/>
      <c r="C682" s="94"/>
      <c r="D682" s="94"/>
      <c r="E682" s="94"/>
      <c r="F682" s="94"/>
      <c r="G682" s="94"/>
    </row>
    <row r="683" spans="1:7" ht="15" customHeight="1">
      <c r="A683" s="94"/>
      <c r="B683" s="94"/>
      <c r="C683" s="94"/>
      <c r="D683" s="94"/>
      <c r="E683" s="94"/>
      <c r="F683" s="94"/>
      <c r="G683" s="94"/>
    </row>
    <row r="684" spans="1:7" ht="15" customHeight="1">
      <c r="A684" s="94"/>
      <c r="B684" s="94"/>
      <c r="C684" s="94"/>
      <c r="D684" s="94"/>
      <c r="E684" s="94"/>
      <c r="F684" s="94"/>
      <c r="G684" s="94"/>
    </row>
    <row r="685" spans="1:7" ht="15" customHeight="1">
      <c r="A685" s="94"/>
      <c r="B685" s="94"/>
      <c r="C685" s="94"/>
      <c r="D685" s="94"/>
      <c r="E685" s="94"/>
      <c r="F685" s="94"/>
      <c r="G685" s="94"/>
    </row>
    <row r="686" spans="1:7" ht="15" customHeight="1">
      <c r="A686" s="94"/>
      <c r="B686" s="94"/>
      <c r="C686" s="94"/>
      <c r="D686" s="94"/>
      <c r="E686" s="94"/>
      <c r="F686" s="94"/>
      <c r="G686" s="94"/>
    </row>
    <row r="687" spans="1:7" ht="15" customHeight="1">
      <c r="A687" s="94"/>
      <c r="B687" s="94"/>
      <c r="C687" s="94"/>
      <c r="D687" s="94"/>
      <c r="E687" s="94"/>
      <c r="F687" s="94"/>
      <c r="G687" s="94"/>
    </row>
    <row r="688" spans="1:7" ht="15" customHeight="1">
      <c r="A688" s="94"/>
      <c r="B688" s="94"/>
      <c r="C688" s="94"/>
      <c r="D688" s="94"/>
      <c r="E688" s="94"/>
      <c r="F688" s="94"/>
      <c r="G688" s="94"/>
    </row>
    <row r="689" spans="1:7" ht="15" customHeight="1">
      <c r="A689" s="94"/>
      <c r="B689" s="94"/>
      <c r="C689" s="94"/>
      <c r="D689" s="94"/>
      <c r="E689" s="94"/>
      <c r="F689" s="94"/>
      <c r="G689" s="94"/>
    </row>
    <row r="690" spans="1:7" ht="15" customHeight="1">
      <c r="A690" s="94"/>
      <c r="B690" s="94"/>
      <c r="C690" s="94"/>
      <c r="D690" s="94"/>
      <c r="E690" s="94"/>
      <c r="F690" s="94"/>
      <c r="G690" s="94"/>
    </row>
    <row r="691" spans="1:7" ht="15" customHeight="1">
      <c r="A691" s="94"/>
      <c r="B691" s="94"/>
      <c r="C691" s="94"/>
      <c r="D691" s="94"/>
      <c r="E691" s="94"/>
      <c r="F691" s="94"/>
      <c r="G691" s="94"/>
    </row>
    <row r="692" spans="1:7" ht="15" customHeight="1">
      <c r="A692" s="94"/>
      <c r="B692" s="94"/>
      <c r="C692" s="94"/>
      <c r="D692" s="94"/>
      <c r="E692" s="94"/>
      <c r="F692" s="94"/>
      <c r="G692" s="94"/>
    </row>
    <row r="693" spans="1:7" ht="15" customHeight="1">
      <c r="A693" s="94"/>
      <c r="B693" s="94"/>
      <c r="C693" s="94"/>
      <c r="D693" s="94"/>
      <c r="E693" s="94"/>
      <c r="F693" s="94"/>
      <c r="G693" s="94"/>
    </row>
    <row r="694" spans="1:7" ht="15" customHeight="1">
      <c r="A694" s="94"/>
      <c r="B694" s="94"/>
      <c r="C694" s="94"/>
      <c r="D694" s="94"/>
      <c r="E694" s="94"/>
      <c r="F694" s="94"/>
      <c r="G694" s="94"/>
    </row>
    <row r="695" spans="1:7" ht="15" customHeight="1">
      <c r="A695" s="94"/>
      <c r="B695" s="94"/>
      <c r="C695" s="94"/>
      <c r="D695" s="94"/>
      <c r="E695" s="94"/>
      <c r="F695" s="94"/>
      <c r="G695" s="94"/>
    </row>
    <row r="696" spans="1:7" ht="15" customHeight="1">
      <c r="A696" s="94"/>
      <c r="B696" s="94"/>
      <c r="C696" s="94"/>
      <c r="D696" s="94"/>
      <c r="E696" s="94"/>
      <c r="F696" s="94"/>
      <c r="G696" s="94"/>
    </row>
    <row r="697" spans="1:7" ht="15" customHeight="1">
      <c r="A697" s="94"/>
      <c r="B697" s="94"/>
      <c r="C697" s="94"/>
      <c r="D697" s="94"/>
      <c r="E697" s="94"/>
      <c r="F697" s="94"/>
      <c r="G697" s="94"/>
    </row>
    <row r="698" spans="1:7" ht="15" customHeight="1">
      <c r="A698" s="94"/>
      <c r="B698" s="94"/>
      <c r="C698" s="94"/>
      <c r="D698" s="94"/>
      <c r="E698" s="94"/>
      <c r="F698" s="94"/>
      <c r="G698" s="94"/>
    </row>
    <row r="699" spans="1:7" ht="15" customHeight="1">
      <c r="A699" s="94"/>
      <c r="B699" s="94"/>
      <c r="C699" s="94"/>
      <c r="D699" s="94"/>
      <c r="E699" s="94"/>
      <c r="F699" s="94"/>
      <c r="G699" s="94"/>
    </row>
    <row r="700" spans="1:7" ht="15" customHeight="1">
      <c r="A700" s="94"/>
      <c r="B700" s="94"/>
      <c r="C700" s="94"/>
      <c r="D700" s="94"/>
      <c r="E700" s="94"/>
      <c r="F700" s="94"/>
      <c r="G700" s="94"/>
    </row>
    <row r="701" spans="1:7" ht="15" customHeight="1">
      <c r="A701" s="94"/>
      <c r="B701" s="94"/>
      <c r="C701" s="94"/>
      <c r="D701" s="94"/>
      <c r="E701" s="94"/>
      <c r="F701" s="94"/>
      <c r="G701" s="94"/>
    </row>
    <row r="702" spans="1:7" ht="15" customHeight="1">
      <c r="A702" s="94"/>
      <c r="B702" s="94"/>
      <c r="C702" s="94"/>
      <c r="D702" s="94"/>
      <c r="E702" s="94"/>
      <c r="F702" s="94"/>
      <c r="G702" s="94"/>
    </row>
    <row r="703" spans="1:7" ht="15" customHeight="1">
      <c r="A703" s="94"/>
      <c r="B703" s="94"/>
      <c r="C703" s="94"/>
      <c r="D703" s="94"/>
      <c r="E703" s="94"/>
      <c r="F703" s="94"/>
      <c r="G703" s="94"/>
    </row>
    <row r="704" spans="1:7" ht="15" customHeight="1">
      <c r="A704" s="94"/>
      <c r="B704" s="94"/>
      <c r="C704" s="94"/>
      <c r="D704" s="94"/>
      <c r="E704" s="94"/>
      <c r="F704" s="94"/>
      <c r="G704" s="94"/>
    </row>
    <row r="705" spans="1:7" ht="15" customHeight="1">
      <c r="A705" s="94"/>
      <c r="B705" s="94"/>
      <c r="C705" s="94"/>
      <c r="D705" s="94"/>
      <c r="E705" s="94"/>
      <c r="F705" s="94"/>
      <c r="G705" s="94"/>
    </row>
    <row r="706" spans="1:7" ht="15" customHeight="1">
      <c r="A706" s="94"/>
      <c r="B706" s="94"/>
      <c r="C706" s="94"/>
      <c r="D706" s="94"/>
      <c r="E706" s="94"/>
      <c r="F706" s="94"/>
      <c r="G706" s="94"/>
    </row>
    <row r="707" spans="1:7" ht="15" customHeight="1">
      <c r="A707" s="94"/>
      <c r="B707" s="94"/>
      <c r="C707" s="94"/>
      <c r="D707" s="94"/>
      <c r="E707" s="94"/>
      <c r="F707" s="94"/>
      <c r="G707" s="94"/>
    </row>
    <row r="708" spans="1:7" ht="15" customHeight="1">
      <c r="A708" s="94"/>
      <c r="B708" s="94"/>
      <c r="C708" s="94"/>
      <c r="D708" s="94"/>
      <c r="E708" s="94"/>
      <c r="F708" s="94"/>
      <c r="G708" s="94"/>
    </row>
    <row r="709" spans="1:7" ht="15" customHeight="1">
      <c r="A709" s="94"/>
      <c r="B709" s="94"/>
      <c r="C709" s="94"/>
      <c r="D709" s="94"/>
      <c r="E709" s="94"/>
      <c r="F709" s="94"/>
      <c r="G709" s="94"/>
    </row>
    <row r="710" spans="1:7" ht="15" customHeight="1">
      <c r="A710" s="94"/>
      <c r="B710" s="94"/>
      <c r="C710" s="94"/>
      <c r="D710" s="94"/>
      <c r="E710" s="94"/>
      <c r="F710" s="94"/>
      <c r="G710" s="94"/>
    </row>
    <row r="711" spans="1:7" ht="15" customHeight="1">
      <c r="A711" s="94"/>
      <c r="B711" s="94"/>
      <c r="C711" s="94"/>
      <c r="D711" s="94"/>
      <c r="E711" s="94"/>
      <c r="F711" s="94"/>
      <c r="G711" s="94"/>
    </row>
    <row r="712" spans="1:7" ht="15" customHeight="1">
      <c r="A712" s="94"/>
      <c r="B712" s="94"/>
      <c r="C712" s="94"/>
      <c r="D712" s="94"/>
      <c r="E712" s="94"/>
      <c r="F712" s="94"/>
      <c r="G712" s="94"/>
    </row>
    <row r="713" spans="1:7" ht="15" customHeight="1">
      <c r="A713" s="94"/>
      <c r="B713" s="94"/>
      <c r="C713" s="94"/>
      <c r="D713" s="94"/>
      <c r="E713" s="94"/>
      <c r="F713" s="94"/>
      <c r="G713" s="94"/>
    </row>
    <row r="714" spans="1:7" ht="15" customHeight="1">
      <c r="A714" s="94"/>
      <c r="B714" s="94"/>
      <c r="C714" s="94"/>
      <c r="D714" s="94"/>
      <c r="E714" s="94"/>
      <c r="F714" s="94"/>
      <c r="G714" s="94"/>
    </row>
    <row r="715" spans="1:7" ht="15" customHeight="1">
      <c r="A715" s="94"/>
      <c r="B715" s="94"/>
      <c r="C715" s="94"/>
      <c r="D715" s="94"/>
      <c r="E715" s="94"/>
      <c r="F715" s="94"/>
      <c r="G715" s="94"/>
    </row>
    <row r="716" spans="1:7" ht="15" customHeight="1">
      <c r="A716" s="94"/>
      <c r="B716" s="94"/>
      <c r="C716" s="94"/>
      <c r="D716" s="94"/>
      <c r="E716" s="94"/>
      <c r="F716" s="94"/>
      <c r="G716" s="94"/>
    </row>
    <row r="717" spans="1:7" ht="15" customHeight="1">
      <c r="A717" s="94"/>
      <c r="B717" s="94"/>
      <c r="C717" s="94"/>
      <c r="D717" s="94"/>
      <c r="E717" s="94"/>
      <c r="F717" s="94"/>
      <c r="G717" s="94"/>
    </row>
    <row r="718" spans="1:7" ht="15" customHeight="1">
      <c r="A718" s="94"/>
      <c r="B718" s="94"/>
      <c r="C718" s="94"/>
      <c r="D718" s="94"/>
      <c r="E718" s="94"/>
      <c r="F718" s="94"/>
      <c r="G718" s="94"/>
    </row>
    <row r="719" spans="1:7" ht="15" customHeight="1">
      <c r="A719" s="94"/>
      <c r="B719" s="94"/>
      <c r="C719" s="94"/>
      <c r="D719" s="94"/>
      <c r="E719" s="94"/>
      <c r="F719" s="94"/>
      <c r="G719" s="94"/>
    </row>
    <row r="720" spans="1:7" ht="15" customHeight="1">
      <c r="A720" s="94"/>
      <c r="B720" s="94"/>
      <c r="C720" s="94"/>
      <c r="D720" s="94"/>
      <c r="E720" s="94"/>
      <c r="F720" s="94"/>
      <c r="G720" s="94"/>
    </row>
    <row r="721" spans="1:7" ht="15" customHeight="1">
      <c r="A721" s="94"/>
      <c r="B721" s="94"/>
      <c r="C721" s="94"/>
      <c r="D721" s="94"/>
      <c r="E721" s="94"/>
      <c r="F721" s="94"/>
      <c r="G721" s="94"/>
    </row>
    <row r="722" spans="1:7" ht="15" customHeight="1">
      <c r="A722" s="94"/>
      <c r="B722" s="94"/>
      <c r="C722" s="94"/>
      <c r="D722" s="94"/>
      <c r="E722" s="94"/>
      <c r="F722" s="94"/>
      <c r="G722" s="94"/>
    </row>
    <row r="723" spans="1:7" ht="15" customHeight="1">
      <c r="A723" s="94"/>
      <c r="B723" s="94"/>
      <c r="C723" s="94"/>
      <c r="D723" s="94"/>
      <c r="E723" s="94"/>
      <c r="F723" s="94"/>
      <c r="G723" s="94"/>
    </row>
    <row r="724" spans="1:7" ht="15" customHeight="1">
      <c r="A724" s="94"/>
      <c r="B724" s="94"/>
      <c r="C724" s="94"/>
      <c r="D724" s="94"/>
      <c r="E724" s="94"/>
      <c r="F724" s="94"/>
      <c r="G724" s="94"/>
    </row>
    <row r="725" spans="1:7" ht="15" customHeight="1">
      <c r="A725" s="94"/>
      <c r="B725" s="94"/>
      <c r="C725" s="94"/>
      <c r="D725" s="94"/>
      <c r="E725" s="94"/>
      <c r="F725" s="94"/>
      <c r="G725" s="94"/>
    </row>
    <row r="726" spans="1:7" ht="15" customHeight="1">
      <c r="A726" s="94"/>
      <c r="B726" s="94"/>
      <c r="C726" s="94"/>
      <c r="D726" s="94"/>
      <c r="E726" s="94"/>
      <c r="F726" s="94"/>
      <c r="G726" s="94"/>
    </row>
    <row r="727" spans="1:7" ht="15" customHeight="1">
      <c r="A727" s="94"/>
      <c r="B727" s="94"/>
      <c r="C727" s="94"/>
      <c r="D727" s="94"/>
      <c r="E727" s="94"/>
      <c r="F727" s="94"/>
      <c r="G727" s="94"/>
    </row>
    <row r="728" spans="1:7" ht="15" customHeight="1">
      <c r="A728" s="94"/>
      <c r="B728" s="94"/>
      <c r="C728" s="94"/>
      <c r="D728" s="94"/>
      <c r="E728" s="94"/>
      <c r="F728" s="94"/>
      <c r="G728" s="94"/>
    </row>
  </sheetData>
  <mergeCells count="6">
    <mergeCell ref="B46:C46"/>
    <mergeCell ref="B48:C48"/>
    <mergeCell ref="E9:G9"/>
    <mergeCell ref="B34:C34"/>
    <mergeCell ref="B41:C41"/>
    <mergeCell ref="B42:C42"/>
  </mergeCells>
  <printOptions/>
  <pageMargins left="0.75" right="0.5" top="0.75" bottom="0.5" header="0.5" footer="0.5"/>
  <pageSetup fitToHeight="1" fitToWidth="1"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Q97"/>
  <sheetViews>
    <sheetView view="pageBreakPreview" zoomScaleSheetLayoutView="100" workbookViewId="0" topLeftCell="A1">
      <selection activeCell="C39" sqref="C39"/>
    </sheetView>
  </sheetViews>
  <sheetFormatPr defaultColWidth="9.140625" defaultRowHeight="12.75"/>
  <cols>
    <col min="1" max="1" width="6.421875" style="5" customWidth="1"/>
    <col min="2" max="2" width="12.140625" style="5" customWidth="1"/>
    <col min="3" max="3" width="6.140625" style="5" customWidth="1"/>
    <col min="4" max="4" width="5.421875" style="5" customWidth="1"/>
    <col min="5" max="5" width="1.7109375" style="5" customWidth="1"/>
    <col min="6" max="6" width="4.140625" style="5" customWidth="1"/>
    <col min="7" max="7" width="1.7109375" style="5" customWidth="1"/>
    <col min="8" max="8" width="11.28125" style="5" bestFit="1" customWidth="1"/>
    <col min="9" max="9" width="0.85546875" style="5" customWidth="1"/>
    <col min="10" max="10" width="10.8515625" style="12" bestFit="1" customWidth="1"/>
    <col min="11" max="11" width="0.85546875" style="5" customWidth="1"/>
    <col min="12" max="12" width="12.8515625" style="5" customWidth="1"/>
    <col min="13" max="13" width="0.85546875" style="5" customWidth="1"/>
    <col min="14" max="14" width="15.8515625" style="5" customWidth="1"/>
    <col min="15" max="15" width="18.00390625" style="7" hidden="1" customWidth="1"/>
    <col min="16" max="16" width="14.57421875" style="5" customWidth="1"/>
    <col min="17" max="17" width="7.8515625" style="5" customWidth="1"/>
    <col min="18" max="16384" width="7.57421875" style="5" customWidth="1"/>
  </cols>
  <sheetData>
    <row r="1" spans="1:14" ht="15">
      <c r="A1" s="320" t="s">
        <v>311</v>
      </c>
      <c r="B1" s="99" t="s">
        <v>482</v>
      </c>
      <c r="C1" s="94"/>
      <c r="L1" s="15">
        <v>2006</v>
      </c>
      <c r="N1" s="9">
        <v>2005</v>
      </c>
    </row>
    <row r="2" spans="2:14" ht="15">
      <c r="B2" s="23"/>
      <c r="C2" s="94"/>
      <c r="L2" s="492" t="s">
        <v>832</v>
      </c>
      <c r="M2" s="492"/>
      <c r="N2" s="492"/>
    </row>
    <row r="3" spans="2:14" ht="10.5" customHeight="1">
      <c r="B3" s="23"/>
      <c r="C3" s="94"/>
      <c r="L3" s="15"/>
      <c r="M3" s="15"/>
      <c r="N3" s="15"/>
    </row>
    <row r="4" spans="1:14" ht="15">
      <c r="A4" s="5" t="s">
        <v>985</v>
      </c>
      <c r="B4" s="94" t="s">
        <v>51</v>
      </c>
      <c r="C4" s="94"/>
      <c r="L4" s="142">
        <v>43815</v>
      </c>
      <c r="M4" s="61"/>
      <c r="N4" s="146">
        <v>18201</v>
      </c>
    </row>
    <row r="5" spans="2:14" ht="15">
      <c r="B5" s="66" t="s">
        <v>653</v>
      </c>
      <c r="C5" s="94"/>
      <c r="L5" s="142">
        <f>103427+32658</f>
        <v>136085</v>
      </c>
      <c r="M5" s="61"/>
      <c r="N5" s="146">
        <v>173138</v>
      </c>
    </row>
    <row r="6" spans="2:14" ht="15">
      <c r="B6" s="66" t="s">
        <v>654</v>
      </c>
      <c r="C6" s="94"/>
      <c r="L6" s="142">
        <v>738429</v>
      </c>
      <c r="M6" s="61"/>
      <c r="N6" s="146">
        <v>418469</v>
      </c>
    </row>
    <row r="7" spans="2:14" ht="15">
      <c r="B7" s="94" t="s">
        <v>661</v>
      </c>
      <c r="C7" s="94"/>
      <c r="J7" s="40" t="s">
        <v>171</v>
      </c>
      <c r="L7" s="142">
        <v>401483</v>
      </c>
      <c r="M7" s="61"/>
      <c r="N7" s="146">
        <v>368000</v>
      </c>
    </row>
    <row r="8" spans="2:14" ht="15">
      <c r="B8" s="94" t="s">
        <v>971</v>
      </c>
      <c r="C8" s="94"/>
      <c r="J8" s="40"/>
      <c r="L8" s="142">
        <f>2016126+45419</f>
        <v>2061545</v>
      </c>
      <c r="M8" s="61"/>
      <c r="N8" s="146">
        <v>1551419</v>
      </c>
    </row>
    <row r="9" spans="2:14" ht="15">
      <c r="B9" s="94" t="s">
        <v>712</v>
      </c>
      <c r="C9" s="94"/>
      <c r="J9" s="12">
        <v>27.2</v>
      </c>
      <c r="L9" s="142">
        <f>'[2]NOTE 26.2 - 29'!$L$7</f>
        <v>1156785</v>
      </c>
      <c r="M9" s="61"/>
      <c r="N9" s="146">
        <v>1205895</v>
      </c>
    </row>
    <row r="10" spans="2:15" ht="15">
      <c r="B10" s="94" t="s">
        <v>471</v>
      </c>
      <c r="C10" s="94"/>
      <c r="L10" s="142">
        <v>257618</v>
      </c>
      <c r="M10" s="61"/>
      <c r="N10" s="146">
        <v>472432</v>
      </c>
      <c r="O10" s="29">
        <f>'NOTE 27.1 - 32'!L9+'NOTE 27.1 - 32'!L8+'NOTE 27.1 - 32'!L7+'NOTE 25.2 - 27'!E41</f>
        <v>3630582.035</v>
      </c>
    </row>
    <row r="11" spans="12:14" ht="15.75" thickBot="1">
      <c r="L11" s="264">
        <f>SUM(L4:L10)</f>
        <v>4795760</v>
      </c>
      <c r="M11" s="61"/>
      <c r="N11" s="271">
        <f>SUM(N4:N10)</f>
        <v>4207554</v>
      </c>
    </row>
    <row r="12" spans="1:14" ht="15.75" thickTop="1">
      <c r="A12" s="138">
        <v>27.2</v>
      </c>
      <c r="B12" s="6" t="s">
        <v>713</v>
      </c>
      <c r="C12" s="23"/>
      <c r="D12" s="23"/>
      <c r="E12" s="23"/>
      <c r="F12" s="23"/>
      <c r="G12" s="23"/>
      <c r="H12" s="23"/>
      <c r="I12" s="23"/>
      <c r="J12" s="326"/>
      <c r="K12" s="23"/>
      <c r="L12" s="101"/>
      <c r="M12" s="94"/>
      <c r="N12" s="94"/>
    </row>
    <row r="13" spans="2:14" ht="10.5" customHeight="1">
      <c r="B13" s="189"/>
      <c r="C13" s="189"/>
      <c r="D13" s="189"/>
      <c r="E13" s="189"/>
      <c r="F13" s="189"/>
      <c r="G13" s="189"/>
      <c r="H13" s="189"/>
      <c r="I13" s="189"/>
      <c r="L13" s="413"/>
      <c r="M13" s="101"/>
      <c r="N13" s="101"/>
    </row>
    <row r="14" spans="2:16" ht="15">
      <c r="B14" s="5" t="s">
        <v>979</v>
      </c>
      <c r="J14" s="190"/>
      <c r="L14" s="145">
        <f>N17</f>
        <v>1205895</v>
      </c>
      <c r="M14" s="61"/>
      <c r="N14" s="151">
        <v>1124308</v>
      </c>
      <c r="P14" s="95"/>
    </row>
    <row r="15" spans="2:16" ht="15">
      <c r="B15" s="5" t="s">
        <v>367</v>
      </c>
      <c r="J15" s="190"/>
      <c r="L15" s="145">
        <v>0</v>
      </c>
      <c r="M15" s="61"/>
      <c r="N15" s="151">
        <v>110400</v>
      </c>
      <c r="P15" s="95"/>
    </row>
    <row r="16" spans="2:16" ht="15">
      <c r="B16" s="5" t="s">
        <v>714</v>
      </c>
      <c r="J16" s="190"/>
      <c r="L16" s="145">
        <v>-49110</v>
      </c>
      <c r="M16" s="61"/>
      <c r="N16" s="151">
        <v>-28813</v>
      </c>
      <c r="P16" s="95"/>
    </row>
    <row r="17" spans="2:16" ht="15.75" thickBot="1">
      <c r="B17" s="5" t="s">
        <v>988</v>
      </c>
      <c r="J17" s="190"/>
      <c r="L17" s="264">
        <f>+L16+L14+L15</f>
        <v>1156785</v>
      </c>
      <c r="M17" s="61"/>
      <c r="N17" s="425">
        <f>SUM(N14:N16)</f>
        <v>1205895</v>
      </c>
      <c r="P17" s="95"/>
    </row>
    <row r="18" spans="10:16" ht="10.5" customHeight="1" thickTop="1">
      <c r="J18" s="190"/>
      <c r="L18" s="56"/>
      <c r="M18" s="7"/>
      <c r="N18" s="38"/>
      <c r="P18" s="95"/>
    </row>
    <row r="19" spans="5:16" ht="14.25" customHeight="1">
      <c r="E19" s="15"/>
      <c r="H19" s="32" t="s">
        <v>773</v>
      </c>
      <c r="I19" s="6"/>
      <c r="J19" s="56" t="s">
        <v>42</v>
      </c>
      <c r="L19" s="15" t="s">
        <v>746</v>
      </c>
      <c r="M19" s="6"/>
      <c r="N19" s="15" t="s">
        <v>980</v>
      </c>
      <c r="P19" s="95"/>
    </row>
    <row r="20" spans="2:16" ht="15">
      <c r="B20" s="7"/>
      <c r="E20" s="15"/>
      <c r="H20" s="32" t="s">
        <v>774</v>
      </c>
      <c r="I20" s="6"/>
      <c r="J20" s="56" t="s">
        <v>43</v>
      </c>
      <c r="L20" s="15" t="s">
        <v>312</v>
      </c>
      <c r="M20" s="6"/>
      <c r="N20" s="6"/>
      <c r="P20" s="95"/>
    </row>
    <row r="21" spans="2:16" ht="15">
      <c r="B21" s="7"/>
      <c r="E21" s="15"/>
      <c r="H21" s="510" t="s">
        <v>760</v>
      </c>
      <c r="I21" s="510"/>
      <c r="J21" s="510"/>
      <c r="K21" s="510"/>
      <c r="L21" s="510"/>
      <c r="M21" s="510"/>
      <c r="N21" s="510"/>
      <c r="P21" s="95"/>
    </row>
    <row r="22" spans="2:16" ht="10.5" customHeight="1">
      <c r="B22" s="36"/>
      <c r="E22" s="15"/>
      <c r="H22" s="32"/>
      <c r="I22" s="6"/>
      <c r="J22" s="56"/>
      <c r="L22" s="15"/>
      <c r="M22" s="6"/>
      <c r="N22" s="6"/>
      <c r="P22" s="95"/>
    </row>
    <row r="23" spans="2:16" ht="15">
      <c r="B23" s="5" t="s">
        <v>979</v>
      </c>
      <c r="E23" s="7"/>
      <c r="H23" s="61">
        <v>260363</v>
      </c>
      <c r="I23" s="61"/>
      <c r="J23" s="424">
        <v>203476</v>
      </c>
      <c r="K23" s="94"/>
      <c r="L23" s="61">
        <v>742056</v>
      </c>
      <c r="M23" s="94"/>
      <c r="N23" s="414">
        <f>SUM(H23:L23)</f>
        <v>1205895</v>
      </c>
      <c r="P23" s="95"/>
    </row>
    <row r="24" spans="2:16" ht="15">
      <c r="B24" s="5" t="s">
        <v>714</v>
      </c>
      <c r="E24" s="7"/>
      <c r="H24" s="61">
        <v>0</v>
      </c>
      <c r="I24" s="61"/>
      <c r="J24" s="151">
        <v>-49110</v>
      </c>
      <c r="K24" s="94"/>
      <c r="L24" s="61">
        <v>0</v>
      </c>
      <c r="M24" s="94"/>
      <c r="N24" s="414">
        <f>SUM(H24:L24)</f>
        <v>-49110</v>
      </c>
      <c r="P24" s="95"/>
    </row>
    <row r="25" spans="2:16" ht="15.75" thickBot="1">
      <c r="B25" s="5" t="s">
        <v>988</v>
      </c>
      <c r="E25" s="7"/>
      <c r="H25" s="425">
        <f>SUM(H23:H24)</f>
        <v>260363</v>
      </c>
      <c r="I25" s="61"/>
      <c r="J25" s="425">
        <f>SUM(J23:J24)</f>
        <v>154366</v>
      </c>
      <c r="K25" s="94"/>
      <c r="L25" s="425">
        <f>SUM(L23:L24)</f>
        <v>742056</v>
      </c>
      <c r="M25" s="94"/>
      <c r="N25" s="426">
        <f>SUM(N23:N24)</f>
        <v>1156785</v>
      </c>
      <c r="P25" s="95"/>
    </row>
    <row r="26" spans="5:16" ht="10.5" customHeight="1" thickTop="1">
      <c r="E26" s="7"/>
      <c r="H26" s="8"/>
      <c r="I26" s="7"/>
      <c r="J26" s="8"/>
      <c r="N26" s="84"/>
      <c r="P26" s="95"/>
    </row>
    <row r="27" spans="1:16" ht="15">
      <c r="A27" s="6" t="s">
        <v>313</v>
      </c>
      <c r="B27" s="5" t="s">
        <v>620</v>
      </c>
      <c r="E27" s="7"/>
      <c r="H27" s="8"/>
      <c r="I27" s="7"/>
      <c r="J27" s="8"/>
      <c r="K27" s="7"/>
      <c r="L27" s="8"/>
      <c r="N27" s="84"/>
      <c r="P27" s="95"/>
    </row>
    <row r="28" spans="10:16" ht="10.5" customHeight="1">
      <c r="J28" s="5"/>
      <c r="L28" s="190"/>
      <c r="M28" s="7"/>
      <c r="N28" s="38"/>
      <c r="P28" s="95"/>
    </row>
    <row r="29" spans="1:14" ht="15">
      <c r="A29" s="67" t="s">
        <v>667</v>
      </c>
      <c r="B29" s="6" t="s">
        <v>902</v>
      </c>
      <c r="C29" s="6"/>
      <c r="D29" s="94"/>
      <c r="E29" s="94"/>
      <c r="F29" s="94"/>
      <c r="G29" s="94"/>
      <c r="H29" s="94"/>
      <c r="I29" s="94"/>
      <c r="L29" s="15">
        <v>2006</v>
      </c>
      <c r="N29" s="9">
        <v>2005</v>
      </c>
    </row>
    <row r="30" spans="1:14" ht="15">
      <c r="A30" s="67"/>
      <c r="B30" s="6" t="s">
        <v>903</v>
      </c>
      <c r="C30" s="6"/>
      <c r="D30" s="94"/>
      <c r="E30" s="94"/>
      <c r="F30" s="94"/>
      <c r="G30" s="94"/>
      <c r="H30" s="94"/>
      <c r="I30" s="94"/>
      <c r="L30" s="492" t="s">
        <v>832</v>
      </c>
      <c r="M30" s="492"/>
      <c r="N30" s="492"/>
    </row>
    <row r="31" spans="2:17" ht="15">
      <c r="B31" s="94" t="s">
        <v>136</v>
      </c>
      <c r="C31" s="94"/>
      <c r="D31" s="94"/>
      <c r="L31" s="142">
        <f>-'[1]BS Breakup'!$F$610/1000</f>
        <v>15285</v>
      </c>
      <c r="M31" s="61"/>
      <c r="N31" s="61">
        <v>15471</v>
      </c>
      <c r="Q31" s="113"/>
    </row>
    <row r="32" spans="2:17" ht="15">
      <c r="B32" s="94" t="s">
        <v>137</v>
      </c>
      <c r="C32" s="94"/>
      <c r="D32" s="94"/>
      <c r="L32" s="142">
        <f>-'[1]BS Breakup'!$F$611/1000</f>
        <v>3054753</v>
      </c>
      <c r="M32" s="61"/>
      <c r="N32" s="61">
        <v>2961000</v>
      </c>
      <c r="Q32" s="113"/>
    </row>
    <row r="33" spans="2:17" ht="15">
      <c r="B33" s="94" t="s">
        <v>659</v>
      </c>
      <c r="C33" s="94"/>
      <c r="D33" s="94"/>
      <c r="L33" s="142">
        <f>-'[1]BS Breakup'!$F$612/1000</f>
        <v>243767</v>
      </c>
      <c r="M33" s="61"/>
      <c r="N33" s="61">
        <v>239000</v>
      </c>
      <c r="Q33" s="113"/>
    </row>
    <row r="34" spans="2:17" ht="15">
      <c r="B34" s="94" t="s">
        <v>138</v>
      </c>
      <c r="C34" s="94"/>
      <c r="D34" s="94"/>
      <c r="L34" s="266">
        <f>-'[1]BS Breakup'!$F$613/1000</f>
        <v>273824</v>
      </c>
      <c r="M34" s="61"/>
      <c r="N34" s="422">
        <v>164000</v>
      </c>
      <c r="Q34" s="113"/>
    </row>
    <row r="35" spans="2:17" ht="15">
      <c r="B35" s="94"/>
      <c r="C35" s="94"/>
      <c r="D35" s="94"/>
      <c r="J35" s="12" t="s">
        <v>168</v>
      </c>
      <c r="L35" s="142">
        <f>SUM(L31:L34)</f>
        <v>3587629</v>
      </c>
      <c r="M35" s="61"/>
      <c r="N35" s="146">
        <f>SUM(N31:N34)</f>
        <v>3379471</v>
      </c>
      <c r="Q35" s="113"/>
    </row>
    <row r="36" spans="2:17" ht="15">
      <c r="B36" s="94" t="s">
        <v>658</v>
      </c>
      <c r="C36" s="94"/>
      <c r="D36" s="94"/>
      <c r="L36" s="142">
        <f>-('[1]BS Breakup'!$F$608+'[1]BS Breakup'!$F$609)/1000</f>
        <v>169739.65417999998</v>
      </c>
      <c r="M36" s="61"/>
      <c r="N36" s="61">
        <v>164498</v>
      </c>
      <c r="Q36" s="113"/>
    </row>
    <row r="37" spans="2:14" ht="15.75" thickBot="1">
      <c r="B37" s="94"/>
      <c r="C37" s="94"/>
      <c r="D37" s="94"/>
      <c r="J37" s="5"/>
      <c r="L37" s="421">
        <f>L35+L36</f>
        <v>3757368.65418</v>
      </c>
      <c r="M37" s="9"/>
      <c r="N37" s="423">
        <f>N35+N36</f>
        <v>3543969</v>
      </c>
    </row>
    <row r="38" spans="2:14" ht="10.5" customHeight="1" thickTop="1">
      <c r="B38" s="94"/>
      <c r="C38" s="94"/>
      <c r="D38" s="94"/>
      <c r="L38" s="21"/>
      <c r="M38" s="9"/>
      <c r="N38" s="21"/>
    </row>
    <row r="39" spans="1:14" ht="15">
      <c r="A39" s="67" t="s">
        <v>349</v>
      </c>
      <c r="B39" s="6" t="s">
        <v>353</v>
      </c>
      <c r="C39" s="6"/>
      <c r="J39" s="9"/>
      <c r="L39" s="15"/>
      <c r="N39" s="9"/>
    </row>
    <row r="40" spans="1:14" ht="10.5" customHeight="1">
      <c r="A40" s="67"/>
      <c r="B40" s="6"/>
      <c r="C40" s="6"/>
      <c r="J40" s="9"/>
      <c r="L40" s="492"/>
      <c r="M40" s="492"/>
      <c r="N40" s="492"/>
    </row>
    <row r="41" spans="2:14" ht="15">
      <c r="B41" s="5" t="s">
        <v>979</v>
      </c>
      <c r="J41" s="28"/>
      <c r="L41" s="69">
        <f>N44</f>
        <v>414061</v>
      </c>
      <c r="M41" s="47"/>
      <c r="N41" s="47">
        <v>286195</v>
      </c>
    </row>
    <row r="42" spans="2:14" ht="15">
      <c r="B42" s="5" t="s">
        <v>240</v>
      </c>
      <c r="J42" s="28"/>
      <c r="L42" s="148">
        <v>148244</v>
      </c>
      <c r="M42" s="71"/>
      <c r="N42" s="71">
        <v>220402</v>
      </c>
    </row>
    <row r="43" spans="2:14" ht="15">
      <c r="B43" s="5" t="s">
        <v>940</v>
      </c>
      <c r="J43" s="12">
        <v>44</v>
      </c>
      <c r="L43" s="69">
        <v>-135697</v>
      </c>
      <c r="M43" s="47"/>
      <c r="N43" s="47">
        <v>-92536</v>
      </c>
    </row>
    <row r="44" spans="2:14" ht="15.75" thickBot="1">
      <c r="B44" s="5" t="s">
        <v>988</v>
      </c>
      <c r="J44" s="9"/>
      <c r="L44" s="253">
        <f>SUM(L41:L43)</f>
        <v>426608</v>
      </c>
      <c r="M44" s="47"/>
      <c r="N44" s="254">
        <f>SUM(N41:N43)</f>
        <v>414061</v>
      </c>
    </row>
    <row r="45" spans="12:14" ht="10.5" customHeight="1" thickTop="1">
      <c r="L45" s="47"/>
      <c r="M45" s="47"/>
      <c r="N45" s="47"/>
    </row>
    <row r="46" spans="2:14" ht="15">
      <c r="B46" s="170" t="s">
        <v>387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2:14" ht="15">
      <c r="B47" s="170" t="s">
        <v>75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ht="15" customHeight="1">
      <c r="A48" s="67" t="s">
        <v>112</v>
      </c>
      <c r="B48" s="6" t="s">
        <v>193</v>
      </c>
      <c r="L48" s="15">
        <v>2006</v>
      </c>
      <c r="N48" s="9">
        <v>2005</v>
      </c>
    </row>
    <row r="49" spans="12:14" ht="15" customHeight="1">
      <c r="L49" s="492" t="s">
        <v>832</v>
      </c>
      <c r="M49" s="492"/>
      <c r="N49" s="492"/>
    </row>
    <row r="50" ht="15" customHeight="1">
      <c r="B50" s="509" t="s">
        <v>663</v>
      </c>
    </row>
    <row r="51" ht="15" customHeight="1">
      <c r="B51" s="509"/>
    </row>
    <row r="52" ht="15" customHeight="1">
      <c r="C52" s="96" t="s">
        <v>86</v>
      </c>
    </row>
    <row r="53" ht="15" customHeight="1">
      <c r="C53" s="53"/>
    </row>
    <row r="54" spans="2:14" ht="15" customHeight="1" thickBot="1">
      <c r="B54" s="420">
        <v>1000000</v>
      </c>
      <c r="C54" s="5" t="s">
        <v>761</v>
      </c>
      <c r="L54" s="415">
        <v>100000</v>
      </c>
      <c r="M54" s="61"/>
      <c r="N54" s="416">
        <v>100000</v>
      </c>
    </row>
    <row r="55" spans="2:14" ht="15" customHeight="1" thickTop="1">
      <c r="B55" s="418"/>
      <c r="C55" s="114"/>
      <c r="L55" s="417"/>
      <c r="M55" s="61"/>
      <c r="N55" s="61"/>
    </row>
    <row r="56" spans="2:14" ht="15" customHeight="1">
      <c r="B56" s="418"/>
      <c r="C56" s="6" t="s">
        <v>87</v>
      </c>
      <c r="L56" s="417"/>
      <c r="M56" s="61"/>
      <c r="N56" s="61"/>
    </row>
    <row r="57" spans="2:14" ht="15" customHeight="1">
      <c r="B57" s="418"/>
      <c r="C57" s="6"/>
      <c r="L57" s="417"/>
      <c r="M57" s="61"/>
      <c r="N57" s="61"/>
    </row>
    <row r="58" spans="2:14" ht="15" customHeight="1" thickBot="1">
      <c r="B58" s="419">
        <v>1000000</v>
      </c>
      <c r="C58" s="5" t="s">
        <v>762</v>
      </c>
      <c r="L58" s="415">
        <v>100000</v>
      </c>
      <c r="M58" s="61"/>
      <c r="N58" s="416">
        <v>100000</v>
      </c>
    </row>
    <row r="59" ht="15" customHeight="1" thickTop="1"/>
    <row r="60" ht="15" customHeight="1">
      <c r="B60" s="66" t="s">
        <v>510</v>
      </c>
    </row>
    <row r="61" ht="15" customHeight="1">
      <c r="B61" s="66" t="s">
        <v>76</v>
      </c>
    </row>
    <row r="62" ht="15" customHeight="1">
      <c r="B62" s="66" t="s">
        <v>77</v>
      </c>
    </row>
    <row r="63" ht="10.5" customHeight="1">
      <c r="B63" s="66"/>
    </row>
    <row r="64" spans="1:2" ht="15" customHeight="1">
      <c r="A64" s="67" t="s">
        <v>113</v>
      </c>
      <c r="B64" s="6" t="s">
        <v>157</v>
      </c>
    </row>
    <row r="65" ht="6.75" customHeight="1">
      <c r="B65" s="66"/>
    </row>
    <row r="66" ht="15" customHeight="1">
      <c r="B66" s="371" t="s">
        <v>908</v>
      </c>
    </row>
    <row r="67" ht="15" customHeight="1">
      <c r="B67" s="371" t="s">
        <v>909</v>
      </c>
    </row>
    <row r="68" ht="15" customHeight="1">
      <c r="B68" s="371" t="s">
        <v>910</v>
      </c>
    </row>
    <row r="69" ht="15" customHeight="1">
      <c r="B69" s="371" t="s">
        <v>911</v>
      </c>
    </row>
    <row r="70" ht="15" customHeight="1">
      <c r="B70" s="371" t="s">
        <v>400</v>
      </c>
    </row>
    <row r="71" ht="15" customHeight="1">
      <c r="B71" s="66" t="s">
        <v>401</v>
      </c>
    </row>
    <row r="72" ht="9" customHeight="1">
      <c r="B72" s="66"/>
    </row>
    <row r="73" spans="1:2" ht="15" customHeight="1">
      <c r="A73" s="67" t="s">
        <v>114</v>
      </c>
      <c r="B73" s="6" t="s">
        <v>194</v>
      </c>
    </row>
    <row r="74" ht="6" customHeight="1"/>
    <row r="75" spans="1:2" ht="15" customHeight="1">
      <c r="A75" s="67" t="s">
        <v>158</v>
      </c>
      <c r="B75" s="67" t="s">
        <v>976</v>
      </c>
    </row>
    <row r="76" ht="7.5" customHeight="1"/>
    <row r="77" ht="15" customHeight="1">
      <c r="B77" s="5" t="s">
        <v>904</v>
      </c>
    </row>
    <row r="78" ht="15" customHeight="1">
      <c r="B78" s="5" t="s">
        <v>511</v>
      </c>
    </row>
    <row r="79" ht="15" customHeight="1">
      <c r="B79" s="5" t="s">
        <v>905</v>
      </c>
    </row>
    <row r="80" ht="9.75" customHeight="1"/>
    <row r="81" spans="1:2" ht="15" customHeight="1">
      <c r="A81" s="67" t="s">
        <v>159</v>
      </c>
      <c r="B81" s="6" t="s">
        <v>665</v>
      </c>
    </row>
    <row r="82" ht="7.5" customHeight="1"/>
    <row r="83" ht="15" customHeight="1">
      <c r="B83" s="5" t="s">
        <v>906</v>
      </c>
    </row>
    <row r="84" spans="2:14" ht="15" customHeight="1">
      <c r="B84" s="5" t="s">
        <v>907</v>
      </c>
      <c r="L84" s="71"/>
      <c r="M84" s="71"/>
      <c r="N84" s="71"/>
    </row>
    <row r="85" spans="12:14" ht="9.75" customHeight="1">
      <c r="L85" s="71"/>
      <c r="M85" s="71"/>
      <c r="N85" s="71"/>
    </row>
    <row r="86" spans="1:14" ht="15" customHeight="1">
      <c r="A86" s="67" t="s">
        <v>115</v>
      </c>
      <c r="B86" s="6" t="s">
        <v>549</v>
      </c>
      <c r="C86" s="50"/>
      <c r="D86" s="9"/>
      <c r="E86" s="9"/>
      <c r="F86" s="9"/>
      <c r="G86" s="9"/>
      <c r="K86" s="9"/>
      <c r="L86" s="15"/>
      <c r="N86" s="9"/>
    </row>
    <row r="87" spans="1:14" ht="15" customHeight="1">
      <c r="A87" s="50"/>
      <c r="B87" s="101" t="s">
        <v>550</v>
      </c>
      <c r="C87" s="50"/>
      <c r="D87" s="9"/>
      <c r="E87" s="9"/>
      <c r="F87" s="9"/>
      <c r="G87" s="9"/>
      <c r="J87" s="9"/>
      <c r="K87" s="9"/>
      <c r="L87" s="15"/>
      <c r="M87" s="15"/>
      <c r="N87" s="15"/>
    </row>
    <row r="88" spans="3:14" ht="8.25" customHeight="1">
      <c r="C88" s="67"/>
      <c r="D88" s="29"/>
      <c r="E88" s="28"/>
      <c r="F88" s="28"/>
      <c r="G88" s="28"/>
      <c r="J88" s="28"/>
      <c r="K88" s="28"/>
      <c r="L88" s="28"/>
      <c r="M88" s="28"/>
      <c r="N88" s="28"/>
    </row>
    <row r="89" spans="2:14" ht="15" customHeight="1">
      <c r="B89" s="5" t="s">
        <v>979</v>
      </c>
      <c r="G89" s="9"/>
      <c r="J89" s="9"/>
      <c r="K89" s="9"/>
      <c r="L89" s="142">
        <f>N94</f>
        <v>51646593</v>
      </c>
      <c r="M89" s="33"/>
      <c r="N89" s="146">
        <v>45205621</v>
      </c>
    </row>
    <row r="90" spans="2:14" ht="15" customHeight="1">
      <c r="B90" s="478" t="s">
        <v>368</v>
      </c>
      <c r="C90" s="478"/>
      <c r="D90" s="478"/>
      <c r="E90" s="478"/>
      <c r="F90" s="478"/>
      <c r="G90" s="478"/>
      <c r="H90" s="478"/>
      <c r="I90" s="478"/>
      <c r="J90" s="9"/>
      <c r="K90" s="9"/>
      <c r="L90" s="413"/>
      <c r="M90" s="33"/>
      <c r="N90" s="414"/>
    </row>
    <row r="91" spans="2:14" ht="15" customHeight="1">
      <c r="B91" s="20" t="s">
        <v>218</v>
      </c>
      <c r="D91" s="20"/>
      <c r="G91" s="25"/>
      <c r="J91" s="81">
        <v>5</v>
      </c>
      <c r="K91" s="9"/>
      <c r="L91" s="258">
        <v>22396096</v>
      </c>
      <c r="M91" s="33"/>
      <c r="N91" s="268">
        <v>6337889</v>
      </c>
    </row>
    <row r="92" spans="2:14" ht="15" customHeight="1">
      <c r="B92" s="20" t="s">
        <v>219</v>
      </c>
      <c r="D92" s="20"/>
      <c r="G92" s="25"/>
      <c r="J92" s="81">
        <v>14</v>
      </c>
      <c r="K92" s="9"/>
      <c r="L92" s="262">
        <v>364223</v>
      </c>
      <c r="M92" s="33"/>
      <c r="N92" s="270">
        <v>103083</v>
      </c>
    </row>
    <row r="93" spans="7:14" ht="15" customHeight="1">
      <c r="G93" s="25"/>
      <c r="J93" s="25"/>
      <c r="K93" s="9"/>
      <c r="L93" s="142">
        <f>SUM(L91:L92)</f>
        <v>22760319</v>
      </c>
      <c r="M93" s="33"/>
      <c r="N93" s="146">
        <f>SUM(N91:N92)</f>
        <v>6440972</v>
      </c>
    </row>
    <row r="94" spans="7:14" ht="15" customHeight="1" thickBot="1">
      <c r="G94" s="25"/>
      <c r="J94" s="25"/>
      <c r="K94" s="9"/>
      <c r="L94" s="264">
        <f>L89+L93</f>
        <v>74406912</v>
      </c>
      <c r="M94" s="33"/>
      <c r="N94" s="271">
        <f>N89+N93</f>
        <v>51646593</v>
      </c>
    </row>
    <row r="95" spans="7:14" ht="9.75" customHeight="1" thickTop="1">
      <c r="G95" s="9"/>
      <c r="L95" s="71"/>
      <c r="M95" s="71"/>
      <c r="N95" s="71"/>
    </row>
    <row r="96" spans="1:14" ht="15" customHeight="1">
      <c r="A96" s="72"/>
      <c r="B96" s="66" t="s">
        <v>551</v>
      </c>
      <c r="C96" s="66"/>
      <c r="D96" s="66"/>
      <c r="E96" s="66"/>
      <c r="F96" s="66"/>
      <c r="G96" s="66"/>
      <c r="L96" s="71"/>
      <c r="M96" s="71"/>
      <c r="N96" s="71"/>
    </row>
    <row r="97" spans="1:14" ht="15" customHeight="1">
      <c r="A97" s="66"/>
      <c r="B97" s="66" t="s">
        <v>553</v>
      </c>
      <c r="C97" s="66"/>
      <c r="D97" s="66"/>
      <c r="E97" s="66"/>
      <c r="F97" s="66"/>
      <c r="G97" s="66"/>
      <c r="L97" s="71"/>
      <c r="M97" s="71"/>
      <c r="N97" s="71"/>
    </row>
  </sheetData>
  <mergeCells count="7">
    <mergeCell ref="B50:B51"/>
    <mergeCell ref="H21:N21"/>
    <mergeCell ref="B90:I90"/>
    <mergeCell ref="L2:N2"/>
    <mergeCell ref="L40:N40"/>
    <mergeCell ref="L30:N30"/>
    <mergeCell ref="L49:N49"/>
  </mergeCells>
  <printOptions/>
  <pageMargins left="0.75" right="0.5" top="0.75" bottom="0.25" header="0.5" footer="0.5"/>
  <pageSetup fitToHeight="2" horizontalDpi="600" verticalDpi="600" orientation="portrait" paperSize="9" scale="99" r:id="rId1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Q50"/>
  <sheetViews>
    <sheetView view="pageBreakPreview" zoomScaleSheetLayoutView="100" workbookViewId="0" topLeftCell="A1">
      <selection activeCell="M73" sqref="M73"/>
    </sheetView>
  </sheetViews>
  <sheetFormatPr defaultColWidth="9.140625" defaultRowHeight="15" customHeight="1"/>
  <cols>
    <col min="1" max="1" width="6.140625" style="5" customWidth="1"/>
    <col min="2" max="3" width="4.00390625" style="5" customWidth="1"/>
    <col min="4" max="4" width="16.421875" style="5" customWidth="1"/>
    <col min="5" max="5" width="15.28125" style="5" customWidth="1"/>
    <col min="6" max="6" width="0.42578125" style="5" customWidth="1"/>
    <col min="7" max="7" width="4.57421875" style="5" customWidth="1"/>
    <col min="8" max="8" width="1.1484375" style="5" hidden="1" customWidth="1"/>
    <col min="9" max="9" width="0.9921875" style="5" hidden="1" customWidth="1"/>
    <col min="10" max="10" width="3.28125" style="5" customWidth="1"/>
    <col min="11" max="11" width="7.57421875" style="5" customWidth="1"/>
    <col min="12" max="12" width="1.1484375" style="5" customWidth="1"/>
    <col min="13" max="13" width="14.00390625" style="5" bestFit="1" customWidth="1"/>
    <col min="14" max="14" width="1.7109375" style="5" customWidth="1"/>
    <col min="15" max="15" width="12.7109375" style="5" customWidth="1"/>
    <col min="16" max="16" width="7.57421875" style="5" customWidth="1"/>
    <col min="17" max="17" width="15.140625" style="5" customWidth="1"/>
    <col min="18" max="18" width="36.8515625" style="5" customWidth="1"/>
    <col min="19" max="16384" width="7.57421875" style="5" customWidth="1"/>
  </cols>
  <sheetData>
    <row r="1" spans="1:15" ht="15" customHeight="1">
      <c r="A1" s="67" t="s">
        <v>116</v>
      </c>
      <c r="B1" s="6" t="s">
        <v>195</v>
      </c>
      <c r="M1" s="15">
        <v>2006</v>
      </c>
      <c r="O1" s="9">
        <v>2005</v>
      </c>
    </row>
    <row r="2" spans="13:15" ht="15" customHeight="1">
      <c r="M2" s="492" t="s">
        <v>832</v>
      </c>
      <c r="N2" s="492"/>
      <c r="O2" s="492"/>
    </row>
    <row r="3" spans="1:2" ht="15" customHeight="1">
      <c r="A3" s="67" t="s">
        <v>160</v>
      </c>
      <c r="B3" s="6" t="s">
        <v>668</v>
      </c>
    </row>
    <row r="4" ht="10.5" customHeight="1"/>
    <row r="5" spans="2:3" ht="15" customHeight="1">
      <c r="B5" s="5" t="s">
        <v>675</v>
      </c>
      <c r="C5" s="5" t="s">
        <v>91</v>
      </c>
    </row>
    <row r="6" spans="3:15" ht="15" customHeight="1">
      <c r="C6" s="5" t="s">
        <v>673</v>
      </c>
      <c r="D6" s="5" t="s">
        <v>669</v>
      </c>
      <c r="M6" s="145">
        <v>43746786.67082</v>
      </c>
      <c r="N6" s="35"/>
      <c r="O6" s="35">
        <v>23406428</v>
      </c>
    </row>
    <row r="7" spans="3:15" ht="15" customHeight="1">
      <c r="C7" s="5" t="s">
        <v>674</v>
      </c>
      <c r="D7" s="5" t="s">
        <v>754</v>
      </c>
      <c r="M7" s="145">
        <v>44021426.7942</v>
      </c>
      <c r="N7" s="35"/>
      <c r="O7" s="230">
        <v>104019357</v>
      </c>
    </row>
    <row r="8" spans="13:15" ht="15" customHeight="1" thickBot="1">
      <c r="M8" s="264">
        <f>SUM(M6:M7)+1</f>
        <v>87768214.46502</v>
      </c>
      <c r="N8" s="35"/>
      <c r="O8" s="39">
        <f>SUM(O6:O7)</f>
        <v>127425785</v>
      </c>
    </row>
    <row r="9" ht="6.75" customHeight="1" thickTop="1"/>
    <row r="10" ht="15" customHeight="1">
      <c r="B10" s="5" t="s">
        <v>692</v>
      </c>
    </row>
    <row r="11" ht="15" customHeight="1">
      <c r="B11" s="5" t="s">
        <v>693</v>
      </c>
    </row>
    <row r="12" ht="7.5" customHeight="1"/>
    <row r="13" spans="2:3" ht="15" customHeight="1">
      <c r="B13" s="66" t="s">
        <v>595</v>
      </c>
      <c r="C13" s="5" t="s">
        <v>596</v>
      </c>
    </row>
    <row r="14" ht="15" customHeight="1">
      <c r="C14" s="5" t="s">
        <v>597</v>
      </c>
    </row>
    <row r="15" ht="15" customHeight="1">
      <c r="C15" s="5" t="s">
        <v>598</v>
      </c>
    </row>
    <row r="16" ht="15" customHeight="1">
      <c r="C16" s="5" t="s">
        <v>599</v>
      </c>
    </row>
    <row r="17" ht="15" customHeight="1">
      <c r="C17" s="5" t="s">
        <v>600</v>
      </c>
    </row>
    <row r="18" ht="15" customHeight="1">
      <c r="C18" s="5" t="s">
        <v>601</v>
      </c>
    </row>
    <row r="19" ht="15" customHeight="1">
      <c r="C19" s="5" t="s">
        <v>602</v>
      </c>
    </row>
    <row r="20" ht="15" customHeight="1">
      <c r="C20" s="5" t="s">
        <v>603</v>
      </c>
    </row>
    <row r="21" ht="15" customHeight="1">
      <c r="C21" s="5" t="s">
        <v>604</v>
      </c>
    </row>
    <row r="22" ht="9" customHeight="1"/>
    <row r="23" spans="2:3" ht="15" customHeight="1">
      <c r="B23" s="5" t="s">
        <v>605</v>
      </c>
      <c r="C23" s="5" t="s">
        <v>606</v>
      </c>
    </row>
    <row r="24" ht="15" customHeight="1">
      <c r="C24" s="5" t="s">
        <v>607</v>
      </c>
    </row>
    <row r="25" ht="15" customHeight="1">
      <c r="C25" s="5" t="s">
        <v>608</v>
      </c>
    </row>
    <row r="26" ht="15" customHeight="1">
      <c r="C26" s="5" t="s">
        <v>921</v>
      </c>
    </row>
    <row r="27" ht="15" customHeight="1">
      <c r="C27" s="5" t="s">
        <v>609</v>
      </c>
    </row>
    <row r="28" spans="16:17" ht="10.5" customHeight="1">
      <c r="P28" s="10"/>
      <c r="Q28" s="10"/>
    </row>
    <row r="29" spans="2:17" ht="15" customHeight="1" thickBot="1">
      <c r="B29" s="5" t="s">
        <v>610</v>
      </c>
      <c r="C29" s="5" t="s">
        <v>611</v>
      </c>
      <c r="M29" s="340">
        <v>685603</v>
      </c>
      <c r="N29" s="35"/>
      <c r="O29" s="248">
        <v>685603</v>
      </c>
      <c r="P29" s="10"/>
      <c r="Q29" s="10"/>
    </row>
    <row r="30" spans="11:17" ht="10.5" customHeight="1" thickTop="1">
      <c r="K30" s="10"/>
      <c r="L30" s="10"/>
      <c r="M30" s="10"/>
      <c r="N30" s="10"/>
      <c r="O30" s="10"/>
      <c r="P30" s="10"/>
      <c r="Q30" s="10"/>
    </row>
    <row r="31" spans="1:17" ht="15" customHeight="1">
      <c r="A31" s="67" t="s">
        <v>161</v>
      </c>
      <c r="B31" s="6" t="s">
        <v>670</v>
      </c>
      <c r="C31" s="125"/>
      <c r="D31" s="125"/>
      <c r="K31" s="10"/>
      <c r="L31" s="10"/>
      <c r="M31" s="30"/>
      <c r="N31" s="29"/>
      <c r="O31" s="54"/>
      <c r="P31" s="10"/>
      <c r="Q31" s="10"/>
    </row>
    <row r="32" spans="11:17" ht="10.5" customHeight="1">
      <c r="K32" s="10"/>
      <c r="L32" s="10"/>
      <c r="M32" s="145"/>
      <c r="N32" s="35"/>
      <c r="O32" s="35"/>
      <c r="P32" s="10"/>
      <c r="Q32" s="10"/>
    </row>
    <row r="33" spans="2:17" ht="15" customHeight="1">
      <c r="B33" s="5" t="s">
        <v>833</v>
      </c>
      <c r="K33" s="10"/>
      <c r="L33" s="10"/>
      <c r="M33" s="142">
        <v>9819847</v>
      </c>
      <c r="N33" s="42"/>
      <c r="O33" s="47">
        <v>78643672</v>
      </c>
      <c r="P33" s="10"/>
      <c r="Q33" s="10"/>
    </row>
    <row r="34" spans="2:17" ht="15" customHeight="1">
      <c r="B34" s="5" t="s">
        <v>62</v>
      </c>
      <c r="K34" s="10"/>
      <c r="L34" s="10"/>
      <c r="M34" s="145">
        <v>18682725</v>
      </c>
      <c r="N34" s="35"/>
      <c r="O34" s="35">
        <v>58229197</v>
      </c>
      <c r="P34" s="10"/>
      <c r="Q34" s="10"/>
    </row>
    <row r="35" spans="2:17" ht="15" customHeight="1">
      <c r="B35" s="5" t="s">
        <v>95</v>
      </c>
      <c r="K35" s="10"/>
      <c r="L35" s="10"/>
      <c r="M35" s="142">
        <v>0</v>
      </c>
      <c r="N35" s="35"/>
      <c r="O35" s="47">
        <v>1258632</v>
      </c>
      <c r="P35" s="10"/>
      <c r="Q35" s="10"/>
    </row>
    <row r="36" spans="2:17" ht="15" customHeight="1">
      <c r="B36" s="5" t="s">
        <v>85</v>
      </c>
      <c r="C36" s="189"/>
      <c r="K36" s="10"/>
      <c r="L36" s="10"/>
      <c r="M36" s="142">
        <v>240749445</v>
      </c>
      <c r="N36" s="204"/>
      <c r="O36" s="204">
        <v>81205385</v>
      </c>
      <c r="P36" s="10"/>
      <c r="Q36" s="10"/>
    </row>
    <row r="37" spans="2:17" ht="15" customHeight="1">
      <c r="B37" s="5" t="s">
        <v>578</v>
      </c>
      <c r="C37" s="189"/>
      <c r="K37" s="10"/>
      <c r="L37" s="10"/>
      <c r="M37" s="142">
        <v>118483</v>
      </c>
      <c r="N37" s="204"/>
      <c r="O37" s="204">
        <v>173528</v>
      </c>
      <c r="P37" s="10"/>
      <c r="Q37" s="10"/>
    </row>
    <row r="38" spans="4:17" ht="10.5" customHeight="1">
      <c r="D38" s="189"/>
      <c r="K38" s="10"/>
      <c r="L38" s="10"/>
      <c r="M38" s="145"/>
      <c r="N38" s="71"/>
      <c r="O38" s="71"/>
      <c r="P38" s="10"/>
      <c r="Q38" s="10"/>
    </row>
    <row r="39" spans="1:17" ht="15" customHeight="1">
      <c r="A39" s="115" t="s">
        <v>117</v>
      </c>
      <c r="B39" s="6" t="s">
        <v>71</v>
      </c>
      <c r="D39" s="189"/>
      <c r="K39" s="10"/>
      <c r="L39" s="10"/>
      <c r="M39" s="145"/>
      <c r="N39" s="71"/>
      <c r="O39" s="71"/>
      <c r="P39" s="10"/>
      <c r="Q39" s="10"/>
    </row>
    <row r="40" spans="1:17" ht="15" customHeight="1">
      <c r="A40" s="115"/>
      <c r="B40" s="6" t="s">
        <v>72</v>
      </c>
      <c r="D40" s="189"/>
      <c r="K40" s="10"/>
      <c r="L40" s="10"/>
      <c r="M40" s="145"/>
      <c r="N40" s="71"/>
      <c r="O40" s="71"/>
      <c r="P40" s="10"/>
      <c r="Q40" s="10"/>
    </row>
    <row r="41" spans="1:17" ht="10.5" customHeight="1">
      <c r="A41" s="115"/>
      <c r="B41" s="6"/>
      <c r="D41" s="189"/>
      <c r="K41" s="10"/>
      <c r="L41" s="10"/>
      <c r="M41" s="145"/>
      <c r="N41" s="71"/>
      <c r="O41" s="71"/>
      <c r="P41" s="10"/>
      <c r="Q41" s="10"/>
    </row>
    <row r="42" spans="1:17" ht="15" customHeight="1">
      <c r="A42" s="98"/>
      <c r="B42" s="5" t="s">
        <v>21</v>
      </c>
      <c r="D42" s="189"/>
      <c r="K42" s="10"/>
      <c r="L42" s="10"/>
      <c r="M42" s="69">
        <f>-'[1]PL Control sheet '!$G$9/1000</f>
        <v>34874646.87674001</v>
      </c>
      <c r="N42" s="35"/>
      <c r="O42" s="47">
        <v>9876465</v>
      </c>
      <c r="P42" s="10"/>
      <c r="Q42" s="10"/>
    </row>
    <row r="43" spans="1:17" ht="15" customHeight="1">
      <c r="A43" s="20"/>
      <c r="B43" s="5" t="s">
        <v>936</v>
      </c>
      <c r="D43" s="189"/>
      <c r="K43" s="10"/>
      <c r="L43" s="10"/>
      <c r="M43" s="69">
        <f>-'[1]PL Control sheet '!$G$11/1000</f>
        <v>117617.04162</v>
      </c>
      <c r="N43" s="35"/>
      <c r="O43" s="47">
        <v>255845</v>
      </c>
      <c r="P43" s="10"/>
      <c r="Q43" s="10"/>
    </row>
    <row r="44" spans="1:17" ht="15" customHeight="1">
      <c r="A44" s="20"/>
      <c r="B44" s="5" t="s">
        <v>22</v>
      </c>
      <c r="D44" s="189"/>
      <c r="K44" s="10"/>
      <c r="L44" s="10"/>
      <c r="M44" s="69">
        <f>-'[1]PL Control sheet '!$G$12/1000</f>
        <v>2530473.81762</v>
      </c>
      <c r="N44" s="35"/>
      <c r="O44" s="47">
        <v>997720</v>
      </c>
      <c r="P44" s="10"/>
      <c r="Q44" s="10"/>
    </row>
    <row r="45" spans="1:17" ht="15" customHeight="1">
      <c r="A45" s="20"/>
      <c r="B45" s="5" t="s">
        <v>555</v>
      </c>
      <c r="D45" s="189"/>
      <c r="K45" s="10"/>
      <c r="L45" s="10"/>
      <c r="M45" s="69"/>
      <c r="N45" s="35"/>
      <c r="O45" s="47"/>
      <c r="P45" s="10"/>
      <c r="Q45" s="10"/>
    </row>
    <row r="46" spans="1:17" ht="15" customHeight="1">
      <c r="A46" s="20"/>
      <c r="B46" s="5" t="s">
        <v>556</v>
      </c>
      <c r="D46" s="189"/>
      <c r="K46" s="10"/>
      <c r="L46" s="10"/>
      <c r="M46" s="69">
        <f>-'[1]PL Control sheet '!$G$13/1000</f>
        <v>8374826.26238</v>
      </c>
      <c r="N46" s="35"/>
      <c r="O46" s="47">
        <v>3578551</v>
      </c>
      <c r="P46" s="10"/>
      <c r="Q46" s="10"/>
    </row>
    <row r="47" spans="1:17" ht="15" customHeight="1">
      <c r="A47" s="20"/>
      <c r="B47" s="5" t="s">
        <v>937</v>
      </c>
      <c r="D47" s="189"/>
      <c r="K47" s="10"/>
      <c r="L47" s="10"/>
      <c r="M47" s="69">
        <f>-'[1]PL Control sheet '!$G$15/1000</f>
        <v>17314136.62592</v>
      </c>
      <c r="N47" s="35"/>
      <c r="O47" s="47">
        <v>9245706</v>
      </c>
      <c r="P47" s="10"/>
      <c r="Q47" s="10"/>
    </row>
    <row r="48" spans="1:17" ht="15" customHeight="1">
      <c r="A48" s="20"/>
      <c r="B48" s="5" t="s">
        <v>377</v>
      </c>
      <c r="D48" s="189"/>
      <c r="K48" s="10"/>
      <c r="L48" s="10"/>
      <c r="M48" s="69">
        <f>-'[1]PL Control sheet '!$G$16/1000</f>
        <v>6668316.21721</v>
      </c>
      <c r="N48" s="35"/>
      <c r="O48" s="47">
        <v>5778083.94332</v>
      </c>
      <c r="P48" s="10"/>
      <c r="Q48" s="10"/>
    </row>
    <row r="49" spans="1:17" ht="15" customHeight="1">
      <c r="A49" s="20"/>
      <c r="B49" s="5" t="s">
        <v>471</v>
      </c>
      <c r="D49" s="189"/>
      <c r="K49" s="10"/>
      <c r="L49" s="10"/>
      <c r="M49" s="69">
        <f>-'[1]PL Control sheet '!$G$17/1000</f>
        <v>242.60839</v>
      </c>
      <c r="N49" s="35"/>
      <c r="O49" s="47">
        <v>989</v>
      </c>
      <c r="P49" s="10"/>
      <c r="Q49" s="10"/>
    </row>
    <row r="50" spans="13:15" ht="15" customHeight="1" thickBot="1">
      <c r="M50" s="264">
        <f>SUM(M42:M49)+1</f>
        <v>69880260.44988</v>
      </c>
      <c r="N50" s="33"/>
      <c r="O50" s="271">
        <f>SUM(O42:O49)</f>
        <v>29733359.94332</v>
      </c>
    </row>
    <row r="51" ht="15" customHeight="1" thickTop="1"/>
  </sheetData>
  <mergeCells count="1">
    <mergeCell ref="M2:O2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N51"/>
  <sheetViews>
    <sheetView view="pageBreakPreview" zoomScaleSheetLayoutView="100" workbookViewId="0" topLeftCell="A1">
      <selection activeCell="D36" sqref="D36"/>
    </sheetView>
  </sheetViews>
  <sheetFormatPr defaultColWidth="9.140625" defaultRowHeight="12.75"/>
  <cols>
    <col min="1" max="1" width="5.7109375" style="5" customWidth="1"/>
    <col min="2" max="2" width="3.00390625" style="5" customWidth="1"/>
    <col min="3" max="3" width="2.57421875" style="5" customWidth="1"/>
    <col min="4" max="7" width="7.57421875" style="5" customWidth="1"/>
    <col min="8" max="8" width="16.28125" style="5" customWidth="1"/>
    <col min="9" max="9" width="2.7109375" style="5" customWidth="1"/>
    <col min="10" max="10" width="13.7109375" style="47" customWidth="1"/>
    <col min="11" max="11" width="1.7109375" style="29" customWidth="1"/>
    <col min="12" max="12" width="13.7109375" style="29" customWidth="1"/>
    <col min="13" max="13" width="7.57421875" style="5" hidden="1" customWidth="1"/>
    <col min="14" max="14" width="18.7109375" style="5" hidden="1" customWidth="1"/>
    <col min="15" max="17" width="7.57421875" style="5" customWidth="1"/>
    <col min="18" max="18" width="11.421875" style="5" customWidth="1"/>
    <col min="19" max="16384" width="7.57421875" style="5" customWidth="1"/>
  </cols>
  <sheetData>
    <row r="1" spans="1:12" ht="15">
      <c r="A1" s="67" t="s">
        <v>126</v>
      </c>
      <c r="B1" s="6" t="s">
        <v>196</v>
      </c>
      <c r="D1" s="189"/>
      <c r="I1" s="10"/>
      <c r="J1" s="15">
        <v>2006</v>
      </c>
      <c r="K1" s="5"/>
      <c r="L1" s="9">
        <v>2005</v>
      </c>
    </row>
    <row r="2" spans="1:12" ht="15">
      <c r="A2" s="67"/>
      <c r="B2" s="6"/>
      <c r="D2" s="189"/>
      <c r="I2" s="10"/>
      <c r="J2" s="492" t="s">
        <v>832</v>
      </c>
      <c r="K2" s="492"/>
      <c r="L2" s="492"/>
    </row>
    <row r="3" spans="4:12" ht="10.5" customHeight="1">
      <c r="D3" s="189"/>
      <c r="I3" s="10"/>
      <c r="J3" s="145"/>
      <c r="K3" s="71"/>
      <c r="L3" s="71"/>
    </row>
    <row r="4" spans="2:12" ht="15">
      <c r="B4" s="5" t="s">
        <v>942</v>
      </c>
      <c r="D4" s="189"/>
      <c r="I4" s="10"/>
      <c r="J4" s="69">
        <f>'[1]PL Control sheet '!$G$22/1000</f>
        <v>3981369.2657099995</v>
      </c>
      <c r="K4" s="35"/>
      <c r="L4" s="47">
        <v>2235276</v>
      </c>
    </row>
    <row r="5" spans="2:12" ht="15">
      <c r="B5" s="5" t="s">
        <v>471</v>
      </c>
      <c r="D5" s="189"/>
      <c r="I5" s="10"/>
      <c r="J5" s="69">
        <f>'[1]PL Control sheet '!$G$25/1000</f>
        <v>66432.57773</v>
      </c>
      <c r="K5" s="33"/>
      <c r="L5" s="47">
        <v>48832</v>
      </c>
    </row>
    <row r="6" spans="2:12" ht="15.75" thickBot="1">
      <c r="B6" s="20"/>
      <c r="D6" s="189"/>
      <c r="I6" s="10"/>
      <c r="J6" s="264">
        <f>SUM(J4:J5)</f>
        <v>4047801.8434399995</v>
      </c>
      <c r="K6" s="33"/>
      <c r="L6" s="271">
        <f>SUM(L4:L5)</f>
        <v>2284108</v>
      </c>
    </row>
    <row r="7" spans="1:2" ht="15.75" thickTop="1">
      <c r="A7" s="67" t="s">
        <v>127</v>
      </c>
      <c r="B7" s="6" t="s">
        <v>197</v>
      </c>
    </row>
    <row r="8" ht="10.5" customHeight="1">
      <c r="B8" s="6"/>
    </row>
    <row r="9" spans="2:12" ht="15">
      <c r="B9" s="5" t="s">
        <v>986</v>
      </c>
      <c r="J9" s="69">
        <f>-'[1]PL Control sheet '!$G$31/1000</f>
        <v>69650.92235</v>
      </c>
      <c r="K9" s="33"/>
      <c r="L9" s="47">
        <v>103373</v>
      </c>
    </row>
    <row r="10" spans="2:12" ht="15">
      <c r="B10" s="5" t="s">
        <v>923</v>
      </c>
      <c r="J10" s="69">
        <f>-'[1]PL Control sheet '!$G$32/1000</f>
        <v>62655</v>
      </c>
      <c r="K10" s="33"/>
      <c r="L10" s="47">
        <v>284216</v>
      </c>
    </row>
    <row r="11" spans="2:12" ht="15">
      <c r="B11" s="5" t="s">
        <v>337</v>
      </c>
      <c r="J11" s="69">
        <f>-'[1]PL Control sheet '!$G$33/1000</f>
        <v>151516</v>
      </c>
      <c r="K11" s="33"/>
      <c r="L11" s="47">
        <v>149410</v>
      </c>
    </row>
    <row r="12" spans="2:12" ht="15">
      <c r="B12" s="5" t="s">
        <v>476</v>
      </c>
      <c r="J12" s="69">
        <f>-'[1]PL Control sheet '!$G$34/1000</f>
        <v>64366.706079999996</v>
      </c>
      <c r="K12" s="33"/>
      <c r="L12" s="153">
        <v>66343</v>
      </c>
    </row>
    <row r="13" spans="2:12" ht="15">
      <c r="B13" s="5" t="s">
        <v>471</v>
      </c>
      <c r="J13" s="69">
        <f>-'[1]PL Control sheet '!$G$35/1000</f>
        <v>92844</v>
      </c>
      <c r="K13" s="33"/>
      <c r="L13" s="47">
        <v>89616</v>
      </c>
    </row>
    <row r="14" spans="10:12" ht="15.75" thickBot="1">
      <c r="J14" s="264">
        <f>SUM(J9:J13)</f>
        <v>441032.62843</v>
      </c>
      <c r="K14" s="35"/>
      <c r="L14" s="271">
        <f>SUM(L9:L13)</f>
        <v>692958</v>
      </c>
    </row>
    <row r="15" spans="1:2" ht="15.75" thickTop="1">
      <c r="A15" s="67" t="s">
        <v>129</v>
      </c>
      <c r="B15" s="6" t="s">
        <v>466</v>
      </c>
    </row>
    <row r="16" spans="2:12" ht="10.5" customHeight="1">
      <c r="B16" s="6"/>
      <c r="J16" s="15"/>
      <c r="K16" s="9"/>
      <c r="L16" s="28"/>
    </row>
    <row r="17" spans="2:12" ht="15">
      <c r="B17" s="5" t="s">
        <v>109</v>
      </c>
      <c r="J17" s="116"/>
      <c r="K17" s="9"/>
      <c r="L17" s="28"/>
    </row>
    <row r="18" spans="2:12" ht="15">
      <c r="B18" s="20" t="s">
        <v>73</v>
      </c>
      <c r="J18" s="116"/>
      <c r="K18" s="9"/>
      <c r="L18" s="28"/>
    </row>
    <row r="19" spans="2:12" ht="15">
      <c r="B19" s="5" t="s">
        <v>74</v>
      </c>
      <c r="J19" s="274">
        <f>-'[1]PL Control sheet '!$G$41/1000</f>
        <v>5503078.03957</v>
      </c>
      <c r="K19" s="38"/>
      <c r="L19" s="44">
        <v>15815128</v>
      </c>
    </row>
    <row r="20" spans="2:12" ht="15">
      <c r="B20" s="20" t="s">
        <v>579</v>
      </c>
      <c r="J20" s="274"/>
      <c r="K20" s="38"/>
      <c r="L20" s="44"/>
    </row>
    <row r="21" spans="2:12" ht="15">
      <c r="B21" s="5" t="s">
        <v>580</v>
      </c>
      <c r="J21" s="274">
        <f>-'[1]PL Control sheet '!$G$44/1000</f>
        <v>-15480</v>
      </c>
      <c r="K21" s="38"/>
      <c r="L21" s="44">
        <v>185266</v>
      </c>
    </row>
    <row r="22" spans="2:12" ht="15">
      <c r="B22" s="20" t="s">
        <v>924</v>
      </c>
      <c r="J22" s="274">
        <f>-'[1]PL Control sheet '!$G$45/1000</f>
        <v>-1292.257</v>
      </c>
      <c r="K22" s="38"/>
      <c r="L22" s="44">
        <v>-360255</v>
      </c>
    </row>
    <row r="23" spans="2:12" ht="15">
      <c r="B23" s="20" t="s">
        <v>512</v>
      </c>
      <c r="J23" s="274">
        <f>-'[1]PL Control sheet '!$G$46/1000</f>
        <v>-1485867.59993</v>
      </c>
      <c r="K23" s="38"/>
      <c r="L23" s="44">
        <v>-2240929</v>
      </c>
    </row>
    <row r="24" spans="2:12" ht="15">
      <c r="B24" s="20" t="s">
        <v>220</v>
      </c>
      <c r="J24" s="274">
        <f>-'[1]PL Control sheet '!$G$47/1000</f>
        <v>262445.3424</v>
      </c>
      <c r="K24" s="38"/>
      <c r="L24" s="44">
        <v>297653</v>
      </c>
    </row>
    <row r="25" spans="2:12" ht="15">
      <c r="B25" s="20" t="s">
        <v>925</v>
      </c>
      <c r="J25" s="275">
        <f>-'[1]PL Control sheet '!$G$48/1000</f>
        <v>-34536.46581</v>
      </c>
      <c r="K25" s="38"/>
      <c r="L25" s="276">
        <v>-123712</v>
      </c>
    </row>
    <row r="26" spans="2:12" ht="15">
      <c r="B26" s="20"/>
      <c r="J26" s="145">
        <f>J25+J24+J23+J22+J21+J19</f>
        <v>4228347.05923</v>
      </c>
      <c r="K26" s="34"/>
      <c r="L26" s="151">
        <f>SUM(L19:L25)</f>
        <v>13573151</v>
      </c>
    </row>
    <row r="27" spans="2:12" ht="15">
      <c r="B27" s="5" t="s">
        <v>108</v>
      </c>
      <c r="J27" s="43">
        <f>-'[1]PL Control sheet '!$G$51/1000</f>
        <v>147926.18751999998</v>
      </c>
      <c r="K27" s="34"/>
      <c r="L27" s="29">
        <v>254562</v>
      </c>
    </row>
    <row r="28" spans="10:12" ht="15.75" thickBot="1">
      <c r="J28" s="264">
        <f>SUM(J26:J27)</f>
        <v>4376273.24675</v>
      </c>
      <c r="K28" s="34"/>
      <c r="L28" s="271">
        <f>SUM(L26:L27)</f>
        <v>13827713</v>
      </c>
    </row>
    <row r="29" spans="1:12" ht="15.75" thickTop="1">
      <c r="A29" s="67" t="s">
        <v>132</v>
      </c>
      <c r="B29" s="6" t="s">
        <v>297</v>
      </c>
      <c r="J29" s="56"/>
      <c r="K29" s="34"/>
      <c r="L29" s="35"/>
    </row>
    <row r="30" spans="1:12" ht="10.5" customHeight="1">
      <c r="A30" s="67"/>
      <c r="B30" s="6"/>
      <c r="J30" s="56"/>
      <c r="K30" s="34"/>
      <c r="L30" s="35"/>
    </row>
    <row r="31" spans="2:14" ht="15">
      <c r="B31" s="5" t="s">
        <v>469</v>
      </c>
      <c r="J31" s="69">
        <v>60696</v>
      </c>
      <c r="K31" s="7"/>
      <c r="L31" s="47">
        <v>28618</v>
      </c>
      <c r="M31" s="7"/>
      <c r="N31" s="5">
        <v>60696</v>
      </c>
    </row>
    <row r="32" spans="2:14" ht="15">
      <c r="B32" s="5" t="s">
        <v>642</v>
      </c>
      <c r="J32" s="69"/>
      <c r="K32" s="7"/>
      <c r="L32" s="47"/>
      <c r="M32" s="7"/>
      <c r="N32" s="5">
        <v>52744</v>
      </c>
    </row>
    <row r="33" spans="2:14" ht="15">
      <c r="B33" s="5" t="s">
        <v>581</v>
      </c>
      <c r="J33" s="69">
        <v>42238</v>
      </c>
      <c r="K33" s="7"/>
      <c r="L33" s="47">
        <v>22765</v>
      </c>
      <c r="M33" s="7"/>
      <c r="N33" s="29">
        <f>N31-N32</f>
        <v>7952</v>
      </c>
    </row>
    <row r="34" spans="10:13" ht="15.75" thickBot="1">
      <c r="J34" s="253">
        <f>SUM(J31:J33)</f>
        <v>102934</v>
      </c>
      <c r="K34" s="7"/>
      <c r="L34" s="254">
        <f>SUM(L31:L33)</f>
        <v>51383</v>
      </c>
      <c r="M34" s="7"/>
    </row>
    <row r="35" spans="10:12" ht="10.5" customHeight="1" thickTop="1">
      <c r="J35" s="56"/>
      <c r="K35" s="34"/>
      <c r="L35" s="35"/>
    </row>
    <row r="36" spans="2:12" ht="15">
      <c r="B36" s="66" t="s">
        <v>31</v>
      </c>
      <c r="J36" s="56"/>
      <c r="K36" s="34"/>
      <c r="L36" s="35"/>
    </row>
    <row r="37" spans="2:12" ht="15">
      <c r="B37" s="66" t="s">
        <v>514</v>
      </c>
      <c r="J37" s="56"/>
      <c r="K37" s="34"/>
      <c r="L37" s="35"/>
    </row>
    <row r="38" spans="10:12" ht="10.5" customHeight="1">
      <c r="J38" s="56"/>
      <c r="K38" s="34"/>
      <c r="L38" s="35"/>
    </row>
    <row r="39" spans="1:12" ht="15">
      <c r="A39" s="67" t="s">
        <v>135</v>
      </c>
      <c r="B39" s="6" t="s">
        <v>52</v>
      </c>
      <c r="J39" s="56"/>
      <c r="K39" s="34"/>
      <c r="L39" s="35"/>
    </row>
    <row r="40" spans="2:12" ht="10.5" customHeight="1">
      <c r="B40" s="6"/>
      <c r="J40" s="56"/>
      <c r="K40" s="34"/>
      <c r="L40" s="35"/>
    </row>
    <row r="41" spans="2:13" ht="15">
      <c r="B41" s="5" t="s">
        <v>128</v>
      </c>
      <c r="J41" s="69">
        <f>-'[1]PL Control sheet '!$G$57/1000</f>
        <v>884090.51139</v>
      </c>
      <c r="K41" s="226"/>
      <c r="L41" s="47">
        <v>444416</v>
      </c>
      <c r="M41" s="7"/>
    </row>
    <row r="42" spans="2:13" ht="15">
      <c r="B42" s="5" t="s">
        <v>782</v>
      </c>
      <c r="J42" s="69">
        <f>-('[1]PL Control sheet '!$G$58/1000)</f>
        <v>34274</v>
      </c>
      <c r="K42" s="226"/>
      <c r="L42" s="47">
        <v>26807</v>
      </c>
      <c r="M42" s="7">
        <v>393886</v>
      </c>
    </row>
    <row r="43" spans="2:13" ht="15">
      <c r="B43" s="5" t="s">
        <v>80</v>
      </c>
      <c r="J43" s="69">
        <f>-'[1]PL Control sheet '!$G$61/1000</f>
        <v>900080.68246</v>
      </c>
      <c r="K43" s="226"/>
      <c r="L43" s="47">
        <v>399537</v>
      </c>
      <c r="M43" s="58">
        <v>-609601</v>
      </c>
    </row>
    <row r="44" spans="2:13" ht="15">
      <c r="B44" s="5" t="s">
        <v>849</v>
      </c>
      <c r="J44" s="69">
        <f>-'[1]PL Control sheet '!$G$60/1000</f>
        <v>-1019213.6456999999</v>
      </c>
      <c r="K44" s="226"/>
      <c r="L44" s="47">
        <v>-543336</v>
      </c>
      <c r="M44" s="58"/>
    </row>
    <row r="45" spans="2:13" ht="15">
      <c r="B45" s="5" t="s">
        <v>471</v>
      </c>
      <c r="J45" s="69">
        <f>-'[1]PL Control sheet '!$G$62/1000</f>
        <v>312.5</v>
      </c>
      <c r="K45" s="226"/>
      <c r="L45" s="47">
        <v>480</v>
      </c>
      <c r="M45" s="58"/>
    </row>
    <row r="46" spans="10:13" ht="15.75" thickBot="1">
      <c r="J46" s="264">
        <f>SUM(J41:J45)+1</f>
        <v>799545.04815</v>
      </c>
      <c r="K46" s="226"/>
      <c r="L46" s="271">
        <f>SUM(L41:L45)</f>
        <v>327904</v>
      </c>
      <c r="M46" s="7"/>
    </row>
    <row r="47" ht="10.5" customHeight="1" thickTop="1"/>
    <row r="48" spans="1:2" ht="15">
      <c r="A48" s="67" t="s">
        <v>64</v>
      </c>
      <c r="B48" s="6" t="s">
        <v>198</v>
      </c>
    </row>
    <row r="49" ht="7.5" customHeight="1"/>
    <row r="50" ht="15">
      <c r="B50" s="5" t="s">
        <v>895</v>
      </c>
    </row>
    <row r="51" ht="15">
      <c r="B51" s="5" t="s">
        <v>221</v>
      </c>
    </row>
  </sheetData>
  <mergeCells count="1">
    <mergeCell ref="J2:L2"/>
  </mergeCells>
  <printOptions/>
  <pageMargins left="0.75" right="0.5" top="0.72" bottom="0.6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K86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5.00390625" style="5" customWidth="1"/>
    <col min="2" max="2" width="38.00390625" style="5" customWidth="1"/>
    <col min="3" max="3" width="11.28125" style="5" customWidth="1"/>
    <col min="4" max="4" width="2.7109375" style="5" customWidth="1"/>
    <col min="5" max="5" width="6.00390625" style="5" customWidth="1"/>
    <col min="6" max="6" width="11.57421875" style="29" customWidth="1"/>
    <col min="7" max="7" width="1.7109375" style="29" customWidth="1"/>
    <col min="8" max="8" width="11.57421875" style="29" customWidth="1"/>
    <col min="9" max="9" width="13.7109375" style="10" customWidth="1"/>
    <col min="10" max="10" width="19.00390625" style="44" customWidth="1"/>
    <col min="11" max="11" width="16.57421875" style="8" hidden="1" customWidth="1"/>
    <col min="12" max="16384" width="7.57421875" style="5" customWidth="1"/>
  </cols>
  <sheetData>
    <row r="1" spans="1:2" ht="15">
      <c r="A1" s="67" t="s">
        <v>65</v>
      </c>
      <c r="B1" s="6" t="s">
        <v>199</v>
      </c>
    </row>
    <row r="2" ht="10.5" customHeight="1"/>
    <row r="3" ht="15">
      <c r="B3" s="5" t="s">
        <v>226</v>
      </c>
    </row>
    <row r="4" ht="15">
      <c r="B4" s="5" t="s">
        <v>635</v>
      </c>
    </row>
    <row r="5" ht="10.5" customHeight="1"/>
    <row r="6" spans="1:8" ht="15">
      <c r="A6" s="67" t="s">
        <v>485</v>
      </c>
      <c r="B6" s="6" t="s">
        <v>776</v>
      </c>
      <c r="C6" s="91"/>
      <c r="D6" s="91"/>
      <c r="E6" s="81"/>
      <c r="F6" s="30" t="s">
        <v>586</v>
      </c>
      <c r="H6" s="54" t="s">
        <v>33</v>
      </c>
    </row>
    <row r="7" spans="1:8" ht="15">
      <c r="A7" s="91"/>
      <c r="B7" s="76" t="s">
        <v>777</v>
      </c>
      <c r="C7" s="91"/>
      <c r="D7" s="91"/>
      <c r="E7" s="91"/>
      <c r="F7" s="491" t="s">
        <v>832</v>
      </c>
      <c r="G7" s="491"/>
      <c r="H7" s="491"/>
    </row>
    <row r="8" spans="2:11" ht="15">
      <c r="B8" s="5" t="s">
        <v>516</v>
      </c>
      <c r="C8" s="91"/>
      <c r="D8" s="91"/>
      <c r="E8" s="91"/>
      <c r="F8" s="148">
        <f>'[1]PL Control sheet '!$G$91/1000</f>
        <v>761418.62181</v>
      </c>
      <c r="G8" s="35"/>
      <c r="H8" s="71">
        <v>656925</v>
      </c>
      <c r="K8" s="8">
        <v>533501.56548</v>
      </c>
    </row>
    <row r="9" spans="2:11" ht="15">
      <c r="B9" s="5" t="s">
        <v>481</v>
      </c>
      <c r="C9" s="91"/>
      <c r="D9" s="117"/>
      <c r="E9" s="91"/>
      <c r="F9" s="148">
        <f>'[1]PL Control sheet '!$G$92/1000</f>
        <v>837509.33791</v>
      </c>
      <c r="G9" s="35"/>
      <c r="H9" s="71">
        <v>468325</v>
      </c>
      <c r="I9" s="7"/>
      <c r="K9" s="8">
        <v>1010372.107</v>
      </c>
    </row>
    <row r="10" spans="2:9" ht="15">
      <c r="B10" s="5" t="s">
        <v>819</v>
      </c>
      <c r="C10" s="91"/>
      <c r="D10" s="117"/>
      <c r="E10" s="91"/>
      <c r="F10" s="148">
        <f>'[1]PL Control sheet '!$G$93/1000</f>
        <v>10000</v>
      </c>
      <c r="G10" s="35"/>
      <c r="H10" s="71">
        <v>10000</v>
      </c>
      <c r="I10" s="7"/>
    </row>
    <row r="11" spans="2:11" ht="15">
      <c r="B11" s="5" t="s">
        <v>242</v>
      </c>
      <c r="C11" s="91"/>
      <c r="D11" s="91"/>
      <c r="E11" s="91"/>
      <c r="F11" s="148">
        <f>'[1]PL Control sheet '!$G$94/1000</f>
        <v>7534.269</v>
      </c>
      <c r="G11" s="35"/>
      <c r="H11" s="71">
        <v>15505</v>
      </c>
      <c r="K11" s="8">
        <v>12868.748</v>
      </c>
    </row>
    <row r="12" spans="2:11" ht="15">
      <c r="B12" s="5" t="s">
        <v>111</v>
      </c>
      <c r="C12" s="91"/>
      <c r="D12" s="91"/>
      <c r="E12" s="91"/>
      <c r="F12" s="148">
        <f>'[1]PL Control sheet '!$G$95/1000</f>
        <v>4778.099</v>
      </c>
      <c r="G12" s="35"/>
      <c r="H12" s="71">
        <v>4082</v>
      </c>
      <c r="K12" s="8">
        <v>1566.471</v>
      </c>
    </row>
    <row r="13" spans="2:11" ht="15">
      <c r="B13" s="5" t="s">
        <v>801</v>
      </c>
      <c r="C13" s="91"/>
      <c r="D13" s="91"/>
      <c r="E13" s="91"/>
      <c r="F13" s="148">
        <f>'[1]PL Control sheet '!$G$96/1000</f>
        <v>14988.679</v>
      </c>
      <c r="G13" s="35"/>
      <c r="H13" s="71">
        <v>12480</v>
      </c>
      <c r="K13" s="8">
        <v>623.248</v>
      </c>
    </row>
    <row r="14" spans="2:11" ht="15">
      <c r="B14" s="5" t="s">
        <v>473</v>
      </c>
      <c r="C14" s="91"/>
      <c r="D14" s="117"/>
      <c r="E14" s="92">
        <v>19.1</v>
      </c>
      <c r="F14" s="148">
        <f>'[1]PL Control sheet '!$G$97/1000</f>
        <v>332028.64076</v>
      </c>
      <c r="G14" s="35"/>
      <c r="H14" s="71">
        <v>347629</v>
      </c>
      <c r="K14" s="8">
        <v>387450.20892999996</v>
      </c>
    </row>
    <row r="15" spans="2:8" ht="15">
      <c r="B15" s="5" t="s">
        <v>793</v>
      </c>
      <c r="C15" s="91"/>
      <c r="D15" s="117"/>
      <c r="E15" s="92">
        <v>20</v>
      </c>
      <c r="F15" s="148">
        <f>('[1]PL Control sheet '!$G$98/1000)</f>
        <v>69986.95973999999</v>
      </c>
      <c r="G15" s="35"/>
      <c r="H15" s="71">
        <v>45363</v>
      </c>
    </row>
    <row r="16" spans="2:11" ht="15">
      <c r="B16" s="5" t="s">
        <v>816</v>
      </c>
      <c r="C16" s="91"/>
      <c r="D16" s="91"/>
      <c r="E16" s="91"/>
      <c r="F16" s="148">
        <f>'[1]PL Control sheet '!$G$99/1000</f>
        <v>124401.34606</v>
      </c>
      <c r="G16" s="35"/>
      <c r="H16" s="71">
        <v>88941</v>
      </c>
      <c r="K16" s="8">
        <v>28121.50019</v>
      </c>
    </row>
    <row r="17" spans="2:11" ht="15">
      <c r="B17" s="5" t="s">
        <v>472</v>
      </c>
      <c r="C17" s="91"/>
      <c r="D17" s="91"/>
      <c r="E17" s="92">
        <v>43.4</v>
      </c>
      <c r="F17" s="148">
        <f>'[1]PL Control sheet '!$G$100/1000</f>
        <v>1950</v>
      </c>
      <c r="G17" s="35"/>
      <c r="H17" s="71">
        <v>1450</v>
      </c>
      <c r="K17" s="8">
        <v>1204.282</v>
      </c>
    </row>
    <row r="18" spans="2:11" ht="15">
      <c r="B18" s="5" t="s">
        <v>802</v>
      </c>
      <c r="C18" s="91"/>
      <c r="D18" s="91"/>
      <c r="E18" s="91"/>
      <c r="F18" s="148">
        <f>'[1]PL Control sheet '!$G$101/1000</f>
        <v>303226.69778000005</v>
      </c>
      <c r="G18" s="35"/>
      <c r="H18" s="71">
        <v>288222</v>
      </c>
      <c r="K18" s="8">
        <v>207894.42323</v>
      </c>
    </row>
    <row r="19" spans="2:11" ht="15">
      <c r="B19" s="5" t="s">
        <v>842</v>
      </c>
      <c r="C19" s="91"/>
      <c r="D19" s="91"/>
      <c r="E19" s="91"/>
      <c r="F19" s="148">
        <f>'[1]PL Control sheet '!$G$102/1000</f>
        <v>37855.65286</v>
      </c>
      <c r="G19" s="35"/>
      <c r="H19" s="71">
        <v>38445</v>
      </c>
      <c r="K19" s="8">
        <v>15298.862</v>
      </c>
    </row>
    <row r="20" spans="2:11" ht="15">
      <c r="B20" s="5" t="s">
        <v>333</v>
      </c>
      <c r="C20" s="91"/>
      <c r="D20" s="91"/>
      <c r="E20" s="91"/>
      <c r="F20" s="148">
        <f>'[1]PL Control sheet '!$G$103/1000</f>
        <v>29851.35</v>
      </c>
      <c r="G20" s="35"/>
      <c r="H20" s="71">
        <v>29840</v>
      </c>
      <c r="K20" s="8">
        <v>20341.054829999997</v>
      </c>
    </row>
    <row r="21" spans="2:11" ht="15">
      <c r="B21" s="5" t="s">
        <v>800</v>
      </c>
      <c r="C21" s="91"/>
      <c r="D21" s="91"/>
      <c r="E21" s="91"/>
      <c r="F21" s="148">
        <f>'[1]PL Control sheet '!$G$104/1000</f>
        <v>7954.102</v>
      </c>
      <c r="G21" s="35"/>
      <c r="H21" s="71">
        <v>5606</v>
      </c>
      <c r="K21" s="8">
        <v>53.532</v>
      </c>
    </row>
    <row r="22" spans="2:11" ht="15">
      <c r="B22" s="5" t="s">
        <v>803</v>
      </c>
      <c r="C22" s="91"/>
      <c r="D22" s="91"/>
      <c r="E22" s="91"/>
      <c r="F22" s="148">
        <f>'[1]PL Control sheet '!$G$105/1000</f>
        <v>3363.687</v>
      </c>
      <c r="G22" s="35"/>
      <c r="H22" s="71">
        <v>5063</v>
      </c>
      <c r="K22" s="8">
        <v>2861.115</v>
      </c>
    </row>
    <row r="23" spans="2:11" ht="15">
      <c r="B23" s="5" t="s">
        <v>564</v>
      </c>
      <c r="C23" s="91"/>
      <c r="D23" s="91"/>
      <c r="E23" s="91"/>
      <c r="F23" s="148">
        <f>'[1]PL Control sheet '!$G$106/1000</f>
        <v>75584.90732</v>
      </c>
      <c r="G23" s="35"/>
      <c r="H23" s="71">
        <v>64776</v>
      </c>
      <c r="K23" s="8">
        <v>1712.23705</v>
      </c>
    </row>
    <row r="24" spans="2:11" ht="15">
      <c r="B24" s="5" t="s">
        <v>241</v>
      </c>
      <c r="C24" s="91"/>
      <c r="D24" s="91"/>
      <c r="E24" s="91"/>
      <c r="F24" s="148">
        <f>'[1]PL Control sheet '!$G$107/1000</f>
        <v>4392.0611</v>
      </c>
      <c r="G24" s="35"/>
      <c r="H24" s="71">
        <v>6174</v>
      </c>
      <c r="K24" s="8">
        <v>5330.883</v>
      </c>
    </row>
    <row r="25" spans="2:11" ht="15">
      <c r="B25" s="5" t="s">
        <v>248</v>
      </c>
      <c r="C25" s="91"/>
      <c r="D25" s="91"/>
      <c r="E25" s="91"/>
      <c r="F25" s="148">
        <f>'[1]PL Control sheet '!$G$108/1000</f>
        <v>2992.5</v>
      </c>
      <c r="G25" s="35"/>
      <c r="H25" s="71">
        <v>66</v>
      </c>
      <c r="K25" s="8">
        <v>4503.463</v>
      </c>
    </row>
    <row r="26" spans="2:11" ht="15">
      <c r="B26" s="5" t="s">
        <v>249</v>
      </c>
      <c r="C26" s="91"/>
      <c r="D26" s="91"/>
      <c r="E26" s="91"/>
      <c r="F26" s="148">
        <f>'[1]PL Control sheet '!$G$109/1000</f>
        <v>0</v>
      </c>
      <c r="G26" s="35"/>
      <c r="H26" s="71">
        <v>979</v>
      </c>
      <c r="K26" s="8">
        <v>3679.98909</v>
      </c>
    </row>
    <row r="27" spans="2:11" ht="15">
      <c r="B27" s="5" t="s">
        <v>339</v>
      </c>
      <c r="C27" s="91"/>
      <c r="D27" s="91"/>
      <c r="E27" s="91"/>
      <c r="F27" s="148">
        <f>'[1]PL Control sheet '!$G$110/1000</f>
        <v>7340.13548</v>
      </c>
      <c r="G27" s="35"/>
      <c r="H27" s="71">
        <v>8802</v>
      </c>
      <c r="K27" s="8">
        <v>6378.61586</v>
      </c>
    </row>
    <row r="28" spans="2:11" ht="15">
      <c r="B28" s="5" t="s">
        <v>250</v>
      </c>
      <c r="C28" s="91"/>
      <c r="D28" s="91"/>
      <c r="E28" s="91"/>
      <c r="F28" s="148">
        <f>'[1]PL Control sheet '!$G$111/1000</f>
        <v>11239.50321</v>
      </c>
      <c r="G28" s="35"/>
      <c r="H28" s="71">
        <v>8536</v>
      </c>
      <c r="K28" s="8">
        <v>6358.47123</v>
      </c>
    </row>
    <row r="29" spans="2:11" ht="15">
      <c r="B29" s="5" t="s">
        <v>331</v>
      </c>
      <c r="C29" s="91"/>
      <c r="D29" s="91"/>
      <c r="E29" s="91"/>
      <c r="F29" s="148">
        <f>'[1]PL Control sheet '!$G$112/1000</f>
        <v>15760.297</v>
      </c>
      <c r="G29" s="35"/>
      <c r="H29" s="71">
        <v>5361</v>
      </c>
      <c r="K29" s="8">
        <v>2376.445</v>
      </c>
    </row>
    <row r="30" spans="2:11" ht="15">
      <c r="B30" s="5" t="s">
        <v>251</v>
      </c>
      <c r="C30" s="91"/>
      <c r="D30" s="91"/>
      <c r="E30" s="91"/>
      <c r="F30" s="148">
        <f>'[1]PL Control sheet '!$G$113/1000</f>
        <v>1926.77</v>
      </c>
      <c r="G30" s="35"/>
      <c r="H30" s="71">
        <v>1957</v>
      </c>
      <c r="I30" s="44"/>
      <c r="K30" s="8">
        <v>1992.761</v>
      </c>
    </row>
    <row r="31" spans="2:11" ht="15">
      <c r="B31" s="5" t="s">
        <v>471</v>
      </c>
      <c r="C31" s="91"/>
      <c r="D31" s="10"/>
      <c r="E31" s="91"/>
      <c r="F31" s="231">
        <f>('[1]PL Control sheet '!$G$114/1000)</f>
        <v>83287.15403</v>
      </c>
      <c r="G31" s="35"/>
      <c r="H31" s="232">
        <v>37676</v>
      </c>
      <c r="I31" s="5"/>
      <c r="K31" s="44">
        <f>J31-G31</f>
        <v>0</v>
      </c>
    </row>
    <row r="32" spans="3:10" ht="15">
      <c r="C32" s="91"/>
      <c r="D32" s="91"/>
      <c r="E32" s="91"/>
      <c r="F32" s="145">
        <f>SUM(F8:F31)+1</f>
        <v>2749371.7710600006</v>
      </c>
      <c r="G32" s="35"/>
      <c r="H32" s="151">
        <f>SUM(H8:H31)</f>
        <v>2152203</v>
      </c>
      <c r="I32" s="34"/>
      <c r="J32" s="34"/>
    </row>
    <row r="33" spans="3:10" ht="10.5" customHeight="1">
      <c r="C33" s="91"/>
      <c r="D33" s="91"/>
      <c r="E33" s="91"/>
      <c r="F33" s="55"/>
      <c r="G33" s="33"/>
      <c r="H33" s="33"/>
      <c r="I33" s="34"/>
      <c r="J33" s="34"/>
    </row>
    <row r="34" spans="2:9" ht="15">
      <c r="B34" s="5" t="s">
        <v>243</v>
      </c>
      <c r="C34" s="91"/>
      <c r="D34" s="117"/>
      <c r="E34" s="91"/>
      <c r="F34" s="56"/>
      <c r="G34" s="35"/>
      <c r="H34" s="35"/>
      <c r="I34" s="84"/>
    </row>
    <row r="35" spans="2:9" ht="15">
      <c r="B35" s="20" t="s">
        <v>778</v>
      </c>
      <c r="C35" s="91"/>
      <c r="D35" s="34"/>
      <c r="E35" s="92" t="s">
        <v>322</v>
      </c>
      <c r="F35" s="141">
        <f>'[1]PL Control sheet '!$G$118/1000</f>
        <v>1370798</v>
      </c>
      <c r="G35" s="35"/>
      <c r="H35" s="268">
        <f>H52</f>
        <v>963403</v>
      </c>
      <c r="I35" s="84"/>
    </row>
    <row r="36" spans="2:9" ht="15">
      <c r="B36" s="20" t="s">
        <v>779</v>
      </c>
      <c r="C36" s="91"/>
      <c r="D36" s="34"/>
      <c r="E36" s="92"/>
      <c r="F36" s="243"/>
      <c r="G36" s="35"/>
      <c r="H36" s="269"/>
      <c r="I36" s="84"/>
    </row>
    <row r="37" spans="2:9" ht="15">
      <c r="B37" s="5" t="s">
        <v>780</v>
      </c>
      <c r="C37" s="91"/>
      <c r="D37" s="91"/>
      <c r="E37" s="34"/>
      <c r="F37" s="229">
        <f>'[1]PL Control sheet '!$G$120/1000</f>
        <v>3738.612</v>
      </c>
      <c r="G37" s="35"/>
      <c r="H37" s="270">
        <v>2960</v>
      </c>
      <c r="I37" s="84"/>
    </row>
    <row r="38" spans="3:9" ht="15">
      <c r="C38" s="91"/>
      <c r="D38" s="91"/>
      <c r="E38" s="34"/>
      <c r="F38" s="145">
        <f>F37+F35</f>
        <v>1374536.612</v>
      </c>
      <c r="G38" s="35"/>
      <c r="H38" s="151">
        <f>SUM(H35:H37)</f>
        <v>966363</v>
      </c>
      <c r="I38" s="84"/>
    </row>
    <row r="39" spans="3:9" ht="6.75" customHeight="1">
      <c r="C39" s="91"/>
      <c r="D39" s="91"/>
      <c r="E39" s="34"/>
      <c r="F39" s="55"/>
      <c r="G39" s="33"/>
      <c r="H39" s="33"/>
      <c r="I39" s="84"/>
    </row>
    <row r="40" spans="2:9" ht="15">
      <c r="B40" s="5" t="s">
        <v>244</v>
      </c>
      <c r="C40" s="91"/>
      <c r="D40" s="34"/>
      <c r="E40" s="92"/>
      <c r="F40" s="148"/>
      <c r="G40" s="35"/>
      <c r="H40" s="35"/>
      <c r="I40" s="84"/>
    </row>
    <row r="41" spans="2:8" ht="15">
      <c r="B41" s="20" t="s">
        <v>778</v>
      </c>
      <c r="C41" s="91"/>
      <c r="D41" s="91"/>
      <c r="E41" s="92" t="s">
        <v>162</v>
      </c>
      <c r="F41" s="258">
        <f>'[1]PL Control sheet '!$G$124/1000</f>
        <v>2773637</v>
      </c>
      <c r="G41" s="35"/>
      <c r="H41" s="268">
        <v>2612607</v>
      </c>
    </row>
    <row r="42" spans="2:8" ht="15">
      <c r="B42" s="20" t="s">
        <v>779</v>
      </c>
      <c r="C42" s="91"/>
      <c r="D42" s="91"/>
      <c r="E42" s="92"/>
      <c r="F42" s="260"/>
      <c r="G42" s="35"/>
      <c r="H42" s="269"/>
    </row>
    <row r="43" spans="2:8" ht="15">
      <c r="B43" s="5" t="s">
        <v>780</v>
      </c>
      <c r="C43" s="91"/>
      <c r="D43" s="91"/>
      <c r="E43" s="34"/>
      <c r="F43" s="262">
        <f>'[1]PL Control sheet '!$G$126/1000</f>
        <v>59267.281</v>
      </c>
      <c r="G43" s="35"/>
      <c r="H43" s="270">
        <v>48464</v>
      </c>
    </row>
    <row r="44" spans="3:8" ht="15">
      <c r="C44" s="91"/>
      <c r="D44" s="91"/>
      <c r="E44" s="34"/>
      <c r="F44" s="145">
        <f>SUM(F41:F43)</f>
        <v>2832904.281</v>
      </c>
      <c r="G44" s="35"/>
      <c r="H44" s="151">
        <f>SUM(H41:H43)</f>
        <v>2661071</v>
      </c>
    </row>
    <row r="45" spans="3:8" ht="10.5" customHeight="1">
      <c r="C45" s="91"/>
      <c r="D45" s="91"/>
      <c r="E45" s="34"/>
      <c r="F45" s="142"/>
      <c r="G45" s="33"/>
      <c r="H45" s="146"/>
    </row>
    <row r="46" spans="1:8" ht="15.75" thickBot="1">
      <c r="A46" s="91"/>
      <c r="B46" s="91"/>
      <c r="C46" s="91"/>
      <c r="D46" s="91"/>
      <c r="E46" s="91"/>
      <c r="F46" s="264">
        <f>F32+F38+F44</f>
        <v>6956812.66406</v>
      </c>
      <c r="G46" s="33"/>
      <c r="H46" s="271">
        <f>H32+H38+H44</f>
        <v>5779637</v>
      </c>
    </row>
    <row r="47" spans="1:8" ht="10.5" customHeight="1" thickTop="1">
      <c r="A47" s="91"/>
      <c r="B47" s="91"/>
      <c r="C47" s="91"/>
      <c r="D47" s="91"/>
      <c r="E47" s="91"/>
      <c r="F47" s="70"/>
      <c r="G47" s="28"/>
      <c r="H47" s="70"/>
    </row>
    <row r="48" spans="1:8" ht="15">
      <c r="A48" s="120" t="s">
        <v>322</v>
      </c>
      <c r="B48" s="6" t="s">
        <v>721</v>
      </c>
      <c r="C48" s="91"/>
      <c r="D48" s="91"/>
      <c r="E48" s="91"/>
      <c r="F48" s="70"/>
      <c r="G48" s="28"/>
      <c r="H48" s="70"/>
    </row>
    <row r="49" ht="10.5" customHeight="1">
      <c r="A49" s="22"/>
    </row>
    <row r="50" spans="1:8" ht="15">
      <c r="A50" s="119"/>
      <c r="B50" s="5" t="s">
        <v>481</v>
      </c>
      <c r="F50" s="145">
        <v>1303472</v>
      </c>
      <c r="G50" s="146"/>
      <c r="H50" s="151">
        <v>916679</v>
      </c>
    </row>
    <row r="51" spans="1:8" ht="15">
      <c r="A51" s="119"/>
      <c r="B51" s="5" t="s">
        <v>943</v>
      </c>
      <c r="F51" s="145">
        <v>67326</v>
      </c>
      <c r="G51" s="455"/>
      <c r="H51" s="151">
        <v>46724</v>
      </c>
    </row>
    <row r="52" spans="6:8" ht="15.75" thickBot="1">
      <c r="F52" s="264">
        <f>SUM(F50:F51)</f>
        <v>1370798</v>
      </c>
      <c r="G52" s="146"/>
      <c r="H52" s="271">
        <f>SUM(H50:H51)</f>
        <v>963403</v>
      </c>
    </row>
    <row r="53" ht="12.75" customHeight="1" thickTop="1"/>
    <row r="67" spans="5:7" ht="15">
      <c r="E67" s="25"/>
      <c r="G67" s="70"/>
    </row>
    <row r="68" spans="1:5" ht="15">
      <c r="A68" s="67"/>
      <c r="E68" s="25"/>
    </row>
    <row r="78" ht="15">
      <c r="E78" s="25"/>
    </row>
    <row r="79" ht="15">
      <c r="E79" s="25"/>
    </row>
    <row r="81" spans="6:8" ht="15">
      <c r="F81" s="35"/>
      <c r="G81" s="33"/>
      <c r="H81" s="35"/>
    </row>
    <row r="86" spans="2:8" ht="15">
      <c r="B86" s="49"/>
      <c r="C86" s="49"/>
      <c r="D86" s="49"/>
      <c r="E86" s="49"/>
      <c r="F86" s="160"/>
      <c r="G86" s="160"/>
      <c r="H86" s="160"/>
    </row>
  </sheetData>
  <mergeCells count="1">
    <mergeCell ref="F7:H7"/>
  </mergeCells>
  <printOptions/>
  <pageMargins left="0.75" right="0.5" top="0.71" bottom="0.55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5"/>
  <sheetViews>
    <sheetView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3.140625" style="5" customWidth="1"/>
    <col min="2" max="2" width="8.28125" style="5" customWidth="1"/>
    <col min="3" max="3" width="8.8515625" style="5" customWidth="1"/>
    <col min="4" max="4" width="7.8515625" style="5" customWidth="1"/>
    <col min="5" max="5" width="8.7109375" style="5" customWidth="1"/>
    <col min="6" max="6" width="12.8515625" style="5" customWidth="1"/>
    <col min="7" max="7" width="9.421875" style="5" customWidth="1"/>
    <col min="8" max="8" width="14.00390625" style="29" customWidth="1"/>
    <col min="9" max="9" width="1.7109375" style="29" customWidth="1"/>
    <col min="10" max="10" width="14.00390625" style="29" customWidth="1"/>
    <col min="11" max="11" width="10.7109375" style="5" customWidth="1"/>
    <col min="12" max="12" width="9.00390625" style="5" customWidth="1"/>
    <col min="13" max="16384" width="7.57421875" style="5" customWidth="1"/>
  </cols>
  <sheetData>
    <row r="1" spans="1:10" ht="20.25">
      <c r="A1" s="27" t="s">
        <v>825</v>
      </c>
      <c r="G1" s="9"/>
      <c r="H1" s="43"/>
      <c r="I1" s="44"/>
      <c r="J1" s="28"/>
    </row>
    <row r="2" spans="1:10" ht="18.75">
      <c r="A2" s="167" t="s">
        <v>824</v>
      </c>
      <c r="G2" s="9"/>
      <c r="I2" s="44"/>
      <c r="J2" s="28"/>
    </row>
    <row r="3" spans="1:10" ht="15">
      <c r="A3" s="11" t="s">
        <v>588</v>
      </c>
      <c r="G3" s="9"/>
      <c r="I3" s="44"/>
      <c r="J3" s="28"/>
    </row>
    <row r="4" spans="7:10" ht="15">
      <c r="G4" s="12" t="s">
        <v>676</v>
      </c>
      <c r="H4" s="30" t="s">
        <v>586</v>
      </c>
      <c r="I4" s="31"/>
      <c r="J4" s="54" t="s">
        <v>33</v>
      </c>
    </row>
    <row r="5" spans="7:10" ht="15">
      <c r="G5" s="12"/>
      <c r="H5" s="491" t="s">
        <v>832</v>
      </c>
      <c r="I5" s="491"/>
      <c r="J5" s="491"/>
    </row>
    <row r="6" spans="1:10" ht="15">
      <c r="A6" s="6" t="s">
        <v>677</v>
      </c>
      <c r="G6" s="12"/>
      <c r="H6" s="32"/>
      <c r="I6" s="32"/>
      <c r="J6" s="32"/>
    </row>
    <row r="7" spans="7:10" ht="15">
      <c r="G7" s="12"/>
      <c r="H7" s="152"/>
      <c r="I7" s="154"/>
      <c r="J7" s="152"/>
    </row>
    <row r="8" spans="1:10" ht="15">
      <c r="A8" s="5" t="s">
        <v>470</v>
      </c>
      <c r="G8" s="12">
        <v>5</v>
      </c>
      <c r="H8" s="69">
        <f>'NOTE 5 - 6.5'!L8</f>
        <v>76317295</v>
      </c>
      <c r="I8" s="42"/>
      <c r="J8" s="42">
        <v>53870004</v>
      </c>
    </row>
    <row r="9" spans="7:10" ht="15">
      <c r="G9" s="12"/>
      <c r="H9" s="104"/>
      <c r="I9" s="42"/>
      <c r="J9" s="42"/>
    </row>
    <row r="10" spans="1:10" ht="15">
      <c r="A10" s="5" t="s">
        <v>323</v>
      </c>
      <c r="G10" s="12">
        <v>6</v>
      </c>
      <c r="H10" s="104">
        <f>'NOTE 5 - 6.5'!L19</f>
        <v>555312089</v>
      </c>
      <c r="I10" s="42"/>
      <c r="J10" s="42">
        <v>472513815</v>
      </c>
    </row>
    <row r="11" spans="7:10" ht="15">
      <c r="G11" s="12"/>
      <c r="H11" s="149"/>
      <c r="I11" s="153"/>
      <c r="J11" s="153"/>
    </row>
    <row r="12" spans="1:10" ht="15">
      <c r="A12" s="5" t="s">
        <v>374</v>
      </c>
      <c r="G12" s="12"/>
      <c r="H12" s="149"/>
      <c r="I12" s="153"/>
      <c r="J12" s="153"/>
    </row>
    <row r="13" spans="1:10" ht="15">
      <c r="A13" s="5" t="s">
        <v>364</v>
      </c>
      <c r="G13" s="12">
        <v>7</v>
      </c>
      <c r="H13" s="149">
        <f>'NOTE 7 - 12.1'!K14</f>
        <v>12035520</v>
      </c>
      <c r="I13" s="153"/>
      <c r="J13" s="153">
        <v>11794613</v>
      </c>
    </row>
    <row r="14" spans="7:10" ht="15">
      <c r="G14" s="12"/>
      <c r="H14" s="104"/>
      <c r="I14" s="42"/>
      <c r="J14" s="42"/>
    </row>
    <row r="15" spans="1:10" ht="15">
      <c r="A15" s="5" t="s">
        <v>487</v>
      </c>
      <c r="G15" s="12"/>
      <c r="H15" s="149"/>
      <c r="I15" s="153"/>
      <c r="J15" s="153"/>
    </row>
    <row r="16" spans="1:10" ht="15">
      <c r="A16" s="20" t="s">
        <v>27</v>
      </c>
      <c r="G16" s="12"/>
      <c r="H16" s="141"/>
      <c r="I16" s="42"/>
      <c r="J16" s="155"/>
    </row>
    <row r="17" spans="1:10" ht="15">
      <c r="A17" s="5" t="s">
        <v>28</v>
      </c>
      <c r="G17" s="12">
        <v>9</v>
      </c>
      <c r="H17" s="243">
        <v>562568</v>
      </c>
      <c r="I17" s="42"/>
      <c r="J17" s="348">
        <v>592981</v>
      </c>
    </row>
    <row r="18" spans="1:10" ht="15">
      <c r="A18" s="20" t="s">
        <v>488</v>
      </c>
      <c r="G18" s="12">
        <v>10</v>
      </c>
      <c r="H18" s="256">
        <f>-'NOTE 7 - 12.1'!K36</f>
        <v>2865468</v>
      </c>
      <c r="I18" s="42"/>
      <c r="J18" s="246">
        <v>2961213</v>
      </c>
    </row>
    <row r="19" spans="7:10" ht="15">
      <c r="G19" s="12"/>
      <c r="H19" s="104">
        <f>SUM(H17:H18)</f>
        <v>3428036</v>
      </c>
      <c r="I19" s="42"/>
      <c r="J19" s="42">
        <f>SUM(J17:J18)</f>
        <v>3554194</v>
      </c>
    </row>
    <row r="20" spans="7:10" ht="15">
      <c r="G20" s="12"/>
      <c r="H20" s="104"/>
      <c r="I20" s="42"/>
      <c r="J20" s="42"/>
    </row>
    <row r="21" spans="1:10" ht="15">
      <c r="A21" s="5" t="s">
        <v>672</v>
      </c>
      <c r="G21" s="12">
        <v>12</v>
      </c>
      <c r="H21" s="69">
        <f>-'NOTE 7 - 12.1'!K86</f>
        <v>135585429</v>
      </c>
      <c r="I21" s="42"/>
      <c r="J21" s="42">
        <v>162802630</v>
      </c>
    </row>
    <row r="22" spans="7:10" ht="15">
      <c r="G22" s="12"/>
      <c r="H22" s="104"/>
      <c r="I22" s="42"/>
      <c r="J22" s="42"/>
    </row>
    <row r="23" spans="1:10" ht="15">
      <c r="A23" s="5" t="s">
        <v>989</v>
      </c>
      <c r="G23" s="12">
        <v>13</v>
      </c>
      <c r="H23" s="104">
        <v>78500</v>
      </c>
      <c r="I23" s="42"/>
      <c r="J23" s="42">
        <v>78500</v>
      </c>
    </row>
    <row r="24" spans="7:10" ht="15">
      <c r="G24" s="12"/>
      <c r="H24" s="104"/>
      <c r="I24" s="42"/>
      <c r="J24" s="42"/>
    </row>
    <row r="25" spans="1:10" ht="15">
      <c r="A25" s="5" t="s">
        <v>682</v>
      </c>
      <c r="G25" s="12">
        <v>14</v>
      </c>
      <c r="H25" s="69">
        <f>'NOTE 13 - 17'!I19</f>
        <v>1618417</v>
      </c>
      <c r="I25" s="42"/>
      <c r="J25" s="42">
        <v>1251952</v>
      </c>
    </row>
    <row r="26" spans="7:10" ht="15">
      <c r="G26" s="12"/>
      <c r="H26" s="104"/>
      <c r="I26" s="42"/>
      <c r="J26" s="42"/>
    </row>
    <row r="27" spans="7:10" ht="15.75" thickBot="1">
      <c r="G27" s="12"/>
      <c r="H27" s="105">
        <f>H8+H10+H19+H21+H23+H25+H13</f>
        <v>784375286</v>
      </c>
      <c r="I27" s="42"/>
      <c r="J27" s="249">
        <f>J8+J10+J19+J21+J23+J25+J13</f>
        <v>705865708</v>
      </c>
    </row>
    <row r="28" spans="7:10" ht="15.75" thickTop="1">
      <c r="G28" s="12"/>
      <c r="H28" s="149"/>
      <c r="I28" s="42"/>
      <c r="J28" s="153"/>
    </row>
    <row r="29" spans="1:10" ht="15">
      <c r="A29" s="6" t="s">
        <v>810</v>
      </c>
      <c r="G29" s="12"/>
      <c r="H29" s="104"/>
      <c r="I29" s="42"/>
      <c r="J29" s="42"/>
    </row>
    <row r="30" spans="7:10" ht="15">
      <c r="G30" s="12"/>
      <c r="H30" s="104"/>
      <c r="I30" s="42"/>
      <c r="J30" s="156"/>
    </row>
    <row r="31" spans="1:10" ht="15.75" thickBot="1">
      <c r="A31" s="5" t="s">
        <v>822</v>
      </c>
      <c r="G31" s="12">
        <v>15</v>
      </c>
      <c r="H31" s="349">
        <f>'NOTE 13 - 17'!I30</f>
        <v>784375286</v>
      </c>
      <c r="I31" s="42"/>
      <c r="J31" s="350">
        <v>705865708</v>
      </c>
    </row>
    <row r="32" spans="7:10" ht="15.75" thickTop="1">
      <c r="G32" s="9"/>
      <c r="H32" s="104"/>
      <c r="I32" s="42"/>
      <c r="J32" s="41"/>
    </row>
    <row r="33" spans="7:10" ht="15">
      <c r="G33" s="9"/>
      <c r="H33" s="104"/>
      <c r="I33" s="42"/>
      <c r="J33" s="42"/>
    </row>
    <row r="34" spans="1:10" ht="15">
      <c r="A34" s="5" t="s">
        <v>181</v>
      </c>
      <c r="G34" s="9"/>
      <c r="H34" s="42"/>
      <c r="I34" s="42"/>
      <c r="J34" s="41"/>
    </row>
    <row r="35" spans="1:10" ht="15">
      <c r="A35" s="5" t="s">
        <v>985</v>
      </c>
      <c r="G35" s="9"/>
      <c r="H35" s="42"/>
      <c r="I35" s="42"/>
      <c r="J35" s="35"/>
    </row>
    <row r="36" spans="7:10" ht="15">
      <c r="G36" s="9"/>
      <c r="H36" s="42"/>
      <c r="I36" s="42"/>
      <c r="J36" s="41"/>
    </row>
    <row r="37" spans="7:10" ht="15">
      <c r="G37" s="9"/>
      <c r="H37" s="42"/>
      <c r="I37" s="42"/>
      <c r="J37" s="41"/>
    </row>
    <row r="38" spans="3:10" ht="15">
      <c r="C38" s="140" t="s">
        <v>853</v>
      </c>
      <c r="D38" s="139"/>
      <c r="E38" s="139"/>
      <c r="F38" s="140" t="s">
        <v>854</v>
      </c>
      <c r="H38" s="42"/>
      <c r="I38" s="35" t="s">
        <v>94</v>
      </c>
      <c r="J38" s="41"/>
    </row>
    <row r="39" spans="3:10" ht="15">
      <c r="C39" s="15" t="s">
        <v>245</v>
      </c>
      <c r="D39" s="138"/>
      <c r="E39" s="138"/>
      <c r="F39" s="15" t="s">
        <v>775</v>
      </c>
      <c r="I39" s="32" t="s">
        <v>717</v>
      </c>
      <c r="J39" s="56"/>
    </row>
    <row r="40" spans="3:10" ht="15">
      <c r="C40" s="15" t="s">
        <v>93</v>
      </c>
      <c r="D40" s="138"/>
      <c r="E40" s="138"/>
      <c r="F40" s="15" t="s">
        <v>716</v>
      </c>
      <c r="I40" s="32" t="s">
        <v>718</v>
      </c>
      <c r="J40" s="32"/>
    </row>
    <row r="42" spans="1:17" s="6" customFormat="1" ht="15">
      <c r="A42" s="5"/>
      <c r="B42" s="5"/>
      <c r="C42" s="5"/>
      <c r="D42" s="5"/>
      <c r="E42" s="5"/>
      <c r="F42" s="5"/>
      <c r="G42" s="5"/>
      <c r="H42" s="29"/>
      <c r="I42" s="29"/>
      <c r="J42" s="29"/>
      <c r="K42" s="5"/>
      <c r="L42" s="5"/>
      <c r="M42" s="5"/>
      <c r="N42" s="5"/>
      <c r="O42" s="5"/>
      <c r="P42" s="5"/>
      <c r="Q42" s="5"/>
    </row>
    <row r="44" spans="7:10" ht="15">
      <c r="G44" s="9"/>
      <c r="H44" s="42"/>
      <c r="I44" s="42"/>
      <c r="J44" s="41"/>
    </row>
    <row r="45" spans="7:10" ht="15">
      <c r="G45" s="9"/>
      <c r="H45" s="71"/>
      <c r="I45" s="71"/>
      <c r="J45" s="35"/>
    </row>
    <row r="46" spans="7:10" ht="15">
      <c r="G46" s="9"/>
      <c r="H46" s="71"/>
      <c r="I46" s="44"/>
      <c r="J46" s="41"/>
    </row>
    <row r="47" spans="7:10" ht="15">
      <c r="G47" s="9"/>
      <c r="H47" s="44"/>
      <c r="I47" s="44"/>
      <c r="J47" s="70"/>
    </row>
    <row r="48" spans="1:10" ht="15">
      <c r="A48" s="26"/>
      <c r="G48" s="9"/>
      <c r="H48" s="44"/>
      <c r="I48" s="44"/>
      <c r="J48" s="41"/>
    </row>
    <row r="49" spans="7:10" ht="15">
      <c r="G49" s="9"/>
      <c r="H49" s="44"/>
      <c r="I49" s="44"/>
      <c r="J49" s="41"/>
    </row>
    <row r="50" spans="7:10" ht="15">
      <c r="G50" s="9"/>
      <c r="H50" s="44"/>
      <c r="I50" s="44"/>
      <c r="J50" s="35"/>
    </row>
    <row r="51" spans="7:10" ht="15">
      <c r="G51" s="9"/>
      <c r="H51" s="44"/>
      <c r="I51" s="44"/>
      <c r="J51" s="41"/>
    </row>
    <row r="52" spans="7:10" ht="15">
      <c r="G52" s="9"/>
      <c r="H52" s="44"/>
      <c r="I52" s="44"/>
      <c r="J52" s="41"/>
    </row>
    <row r="53" spans="7:10" ht="15">
      <c r="G53" s="9"/>
      <c r="H53" s="44"/>
      <c r="I53" s="44"/>
      <c r="J53" s="41"/>
    </row>
    <row r="54" spans="7:10" ht="15">
      <c r="G54" s="9"/>
      <c r="H54" s="44"/>
      <c r="I54" s="44"/>
      <c r="J54" s="41"/>
    </row>
    <row r="55" spans="7:10" ht="15">
      <c r="G55" s="9"/>
      <c r="I55" s="44"/>
      <c r="J55" s="28"/>
    </row>
  </sheetData>
  <mergeCells count="1">
    <mergeCell ref="H5:J5"/>
  </mergeCells>
  <printOptions/>
  <pageMargins left="0.75" right="0.5" top="1" bottom="1" header="0.5" footer="0.5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104"/>
  <sheetViews>
    <sheetView view="pageBreakPreview" zoomScaleSheetLayoutView="100" workbookViewId="0" topLeftCell="A1">
      <selection activeCell="C46" sqref="C46"/>
    </sheetView>
  </sheetViews>
  <sheetFormatPr defaultColWidth="9.140625" defaultRowHeight="12.75"/>
  <cols>
    <col min="1" max="1" width="6.28125" style="22" customWidth="1"/>
    <col min="2" max="2" width="2.28125" style="5" customWidth="1"/>
    <col min="3" max="3" width="32.7109375" style="5" customWidth="1"/>
    <col min="4" max="4" width="12.57421875" style="5" customWidth="1"/>
    <col min="5" max="5" width="0.85546875" style="10" customWidth="1"/>
    <col min="6" max="6" width="12.140625" style="5" customWidth="1"/>
    <col min="7" max="7" width="0.85546875" style="10" customWidth="1"/>
    <col min="8" max="8" width="11.57421875" style="5" bestFit="1" customWidth="1"/>
    <col min="9" max="9" width="0.85546875" style="10" customWidth="1"/>
    <col min="10" max="10" width="10.7109375" style="5" customWidth="1"/>
    <col min="11" max="11" width="13.7109375" style="5" customWidth="1"/>
    <col min="12" max="12" width="11.57421875" style="5" bestFit="1" customWidth="1"/>
    <col min="13" max="13" width="10.7109375" style="5" customWidth="1"/>
    <col min="14" max="16384" width="7.57421875" style="5" customWidth="1"/>
  </cols>
  <sheetData>
    <row r="1" spans="1:10" ht="15">
      <c r="A1" s="120" t="s">
        <v>162</v>
      </c>
      <c r="B1" s="6" t="s">
        <v>757</v>
      </c>
      <c r="C1" s="6"/>
      <c r="D1" s="91"/>
      <c r="E1" s="91"/>
      <c r="G1" s="14"/>
      <c r="H1" s="15">
        <v>2006</v>
      </c>
      <c r="J1" s="9">
        <v>2005</v>
      </c>
    </row>
    <row r="2" spans="1:10" ht="15">
      <c r="A2" s="120"/>
      <c r="B2" s="6" t="s">
        <v>758</v>
      </c>
      <c r="C2" s="6"/>
      <c r="D2" s="91"/>
      <c r="E2" s="91"/>
      <c r="G2" s="101"/>
      <c r="H2" s="101"/>
      <c r="I2" s="15" t="s">
        <v>832</v>
      </c>
      <c r="J2" s="101"/>
    </row>
    <row r="3" spans="4:10" ht="7.5" customHeight="1">
      <c r="D3" s="91"/>
      <c r="E3" s="91"/>
      <c r="F3" s="121"/>
      <c r="G3" s="121"/>
      <c r="H3" s="118"/>
      <c r="I3" s="21"/>
      <c r="J3" s="21"/>
    </row>
    <row r="4" spans="2:10" ht="15">
      <c r="B4" s="5" t="s">
        <v>516</v>
      </c>
      <c r="D4" s="91"/>
      <c r="E4" s="91"/>
      <c r="G4" s="148"/>
      <c r="H4" s="142">
        <v>2395588</v>
      </c>
      <c r="I4" s="24"/>
      <c r="J4" s="62">
        <v>2279555</v>
      </c>
    </row>
    <row r="5" spans="2:10" ht="15">
      <c r="B5" s="5" t="s">
        <v>242</v>
      </c>
      <c r="D5" s="91"/>
      <c r="E5" s="91"/>
      <c r="G5" s="148"/>
      <c r="H5" s="142">
        <v>7162</v>
      </c>
      <c r="I5" s="24"/>
      <c r="J5" s="62">
        <v>6199</v>
      </c>
    </row>
    <row r="6" spans="2:10" ht="15">
      <c r="B6" s="5" t="s">
        <v>111</v>
      </c>
      <c r="D6" s="91"/>
      <c r="E6" s="91"/>
      <c r="G6" s="148"/>
      <c r="H6" s="142">
        <v>1296</v>
      </c>
      <c r="I6" s="24"/>
      <c r="J6" s="62">
        <v>1376</v>
      </c>
    </row>
    <row r="7" spans="2:10" ht="15">
      <c r="B7" s="5" t="s">
        <v>13</v>
      </c>
      <c r="D7" s="91"/>
      <c r="E7" s="91"/>
      <c r="G7" s="56"/>
      <c r="H7" s="142">
        <v>115690</v>
      </c>
      <c r="I7" s="24"/>
      <c r="J7" s="62">
        <v>94439</v>
      </c>
    </row>
    <row r="8" spans="2:10" ht="15">
      <c r="B8" s="5" t="s">
        <v>722</v>
      </c>
      <c r="D8" s="91"/>
      <c r="E8" s="91"/>
      <c r="G8" s="56"/>
      <c r="H8" s="142">
        <v>9751</v>
      </c>
      <c r="I8" s="24"/>
      <c r="J8" s="62">
        <v>9698</v>
      </c>
    </row>
    <row r="9" spans="2:10" ht="15">
      <c r="B9" s="5" t="s">
        <v>104</v>
      </c>
      <c r="D9" s="221">
        <v>43.4</v>
      </c>
      <c r="G9" s="56"/>
      <c r="H9" s="142">
        <v>2250</v>
      </c>
      <c r="I9" s="24"/>
      <c r="J9" s="62">
        <v>1750</v>
      </c>
    </row>
    <row r="10" spans="2:10" ht="15">
      <c r="B10" s="5" t="s">
        <v>14</v>
      </c>
      <c r="D10" s="91"/>
      <c r="E10" s="91"/>
      <c r="G10" s="56"/>
      <c r="H10" s="142">
        <v>2127</v>
      </c>
      <c r="I10" s="24"/>
      <c r="J10" s="62">
        <v>2776</v>
      </c>
    </row>
    <row r="11" spans="2:10" ht="15">
      <c r="B11" s="5" t="s">
        <v>204</v>
      </c>
      <c r="D11" s="91"/>
      <c r="E11" s="91"/>
      <c r="G11" s="56"/>
      <c r="H11" s="142">
        <v>4947</v>
      </c>
      <c r="I11" s="24"/>
      <c r="J11" s="62">
        <v>3856</v>
      </c>
    </row>
    <row r="12" spans="2:10" ht="15">
      <c r="B12" s="5" t="s">
        <v>333</v>
      </c>
      <c r="D12" s="91"/>
      <c r="E12" s="91"/>
      <c r="G12" s="56"/>
      <c r="H12" s="142">
        <v>11530</v>
      </c>
      <c r="I12" s="24"/>
      <c r="J12" s="62">
        <v>7113</v>
      </c>
    </row>
    <row r="13" spans="2:10" ht="15">
      <c r="B13" s="5" t="s">
        <v>60</v>
      </c>
      <c r="D13" s="91"/>
      <c r="E13" s="91"/>
      <c r="G13" s="56"/>
      <c r="H13" s="142">
        <v>60367</v>
      </c>
      <c r="I13" s="24"/>
      <c r="J13" s="62">
        <v>60573</v>
      </c>
    </row>
    <row r="14" spans="2:10" ht="15">
      <c r="B14" s="5" t="s">
        <v>800</v>
      </c>
      <c r="D14" s="91"/>
      <c r="E14" s="91"/>
      <c r="G14" s="56"/>
      <c r="H14" s="142">
        <v>2066</v>
      </c>
      <c r="I14" s="24"/>
      <c r="J14" s="62">
        <v>2057</v>
      </c>
    </row>
    <row r="15" spans="2:10" ht="15">
      <c r="B15" s="5" t="s">
        <v>15</v>
      </c>
      <c r="D15" s="91"/>
      <c r="E15" s="91"/>
      <c r="G15" s="56"/>
      <c r="H15" s="142">
        <v>3167</v>
      </c>
      <c r="I15" s="24"/>
      <c r="J15" s="62">
        <v>2802</v>
      </c>
    </row>
    <row r="16" spans="2:10" ht="15">
      <c r="B16" s="5" t="s">
        <v>723</v>
      </c>
      <c r="D16" s="91"/>
      <c r="E16" s="91"/>
      <c r="G16" s="56"/>
      <c r="H16" s="142">
        <v>11815</v>
      </c>
      <c r="I16" s="24"/>
      <c r="J16" s="62">
        <v>10280</v>
      </c>
    </row>
    <row r="17" spans="2:12" ht="15">
      <c r="B17" s="5" t="s">
        <v>241</v>
      </c>
      <c r="D17" s="91"/>
      <c r="E17" s="91"/>
      <c r="G17" s="148"/>
      <c r="H17" s="142">
        <v>13419</v>
      </c>
      <c r="I17" s="24"/>
      <c r="J17" s="62">
        <v>12892</v>
      </c>
      <c r="L17" s="95"/>
    </row>
    <row r="18" spans="2:10" ht="15">
      <c r="B18" s="5" t="s">
        <v>249</v>
      </c>
      <c r="D18" s="91"/>
      <c r="E18" s="91"/>
      <c r="G18" s="56"/>
      <c r="H18" s="142">
        <v>37445</v>
      </c>
      <c r="I18" s="24"/>
      <c r="J18" s="62">
        <v>30994</v>
      </c>
    </row>
    <row r="19" spans="2:13" ht="15">
      <c r="B19" s="5" t="s">
        <v>339</v>
      </c>
      <c r="D19" s="91"/>
      <c r="E19" s="91"/>
      <c r="G19" s="56"/>
      <c r="H19" s="142">
        <v>5039</v>
      </c>
      <c r="I19" s="24"/>
      <c r="J19" s="62">
        <v>6396</v>
      </c>
      <c r="M19" s="29"/>
    </row>
    <row r="20" spans="2:10" ht="15">
      <c r="B20" s="5" t="s">
        <v>250</v>
      </c>
      <c r="D20" s="91"/>
      <c r="E20" s="91"/>
      <c r="G20" s="56"/>
      <c r="H20" s="142">
        <v>890</v>
      </c>
      <c r="I20" s="24"/>
      <c r="J20" s="62">
        <v>874</v>
      </c>
    </row>
    <row r="21" spans="2:10" ht="15">
      <c r="B21" s="5" t="s">
        <v>331</v>
      </c>
      <c r="D21" s="91"/>
      <c r="E21" s="91"/>
      <c r="G21" s="56"/>
      <c r="H21" s="142">
        <v>597</v>
      </c>
      <c r="I21" s="24"/>
      <c r="J21" s="62">
        <v>354</v>
      </c>
    </row>
    <row r="22" spans="2:10" ht="15">
      <c r="B22" s="5" t="s">
        <v>369</v>
      </c>
      <c r="D22" s="91"/>
      <c r="E22" s="91"/>
      <c r="G22" s="56"/>
      <c r="H22" s="142">
        <v>46206</v>
      </c>
      <c r="I22" s="24"/>
      <c r="J22" s="62">
        <v>51510</v>
      </c>
    </row>
    <row r="23" spans="2:10" ht="15">
      <c r="B23" s="5" t="s">
        <v>251</v>
      </c>
      <c r="D23" s="91"/>
      <c r="E23" s="91"/>
      <c r="G23" s="56"/>
      <c r="H23" s="142">
        <v>13083</v>
      </c>
      <c r="I23" s="24"/>
      <c r="J23" s="62">
        <v>3201</v>
      </c>
    </row>
    <row r="24" spans="2:12" ht="15">
      <c r="B24" s="5" t="s">
        <v>471</v>
      </c>
      <c r="D24" s="91"/>
      <c r="E24" s="91"/>
      <c r="G24" s="274"/>
      <c r="H24" s="43">
        <v>29202</v>
      </c>
      <c r="I24" s="24"/>
      <c r="J24" s="62">
        <v>23912</v>
      </c>
      <c r="L24" s="95"/>
    </row>
    <row r="25" spans="1:12" ht="15.75" thickBot="1">
      <c r="A25" s="119"/>
      <c r="B25" s="25"/>
      <c r="C25" s="25"/>
      <c r="D25" s="91"/>
      <c r="E25" s="91"/>
      <c r="G25" s="56"/>
      <c r="H25" s="264">
        <f>SUM(H4:H24)</f>
        <v>2773637</v>
      </c>
      <c r="I25" s="24"/>
      <c r="J25" s="265">
        <f>SUM(J4:J24)</f>
        <v>2612607</v>
      </c>
      <c r="L25" s="36"/>
    </row>
    <row r="26" spans="1:10" ht="10.5" customHeight="1" thickTop="1">
      <c r="A26" s="119"/>
      <c r="B26" s="91"/>
      <c r="C26" s="91"/>
      <c r="D26" s="91"/>
      <c r="E26" s="91"/>
      <c r="F26" s="21"/>
      <c r="G26" s="21"/>
      <c r="H26" s="118"/>
      <c r="I26" s="21"/>
      <c r="J26" s="21"/>
    </row>
    <row r="27" spans="1:10" ht="15">
      <c r="A27" s="120" t="s">
        <v>163</v>
      </c>
      <c r="B27" s="100" t="s">
        <v>912</v>
      </c>
      <c r="C27" s="100"/>
      <c r="D27" s="66"/>
      <c r="E27" s="100"/>
      <c r="F27" s="66"/>
      <c r="G27" s="100"/>
      <c r="H27" s="66"/>
      <c r="I27" s="100"/>
      <c r="J27" s="66"/>
    </row>
    <row r="28" spans="1:9" ht="15">
      <c r="A28" s="119"/>
      <c r="B28" s="277" t="s">
        <v>913</v>
      </c>
      <c r="C28" s="277"/>
      <c r="D28" s="91"/>
      <c r="E28" s="91"/>
      <c r="F28" s="91"/>
      <c r="G28" s="91"/>
      <c r="H28" s="91"/>
      <c r="I28" s="91"/>
    </row>
    <row r="29" spans="2:3" ht="15">
      <c r="B29" s="251" t="s">
        <v>914</v>
      </c>
      <c r="C29" s="251"/>
    </row>
    <row r="30" spans="2:3" ht="15">
      <c r="B30" s="251" t="s">
        <v>915</v>
      </c>
      <c r="C30" s="251"/>
    </row>
    <row r="31" ht="15">
      <c r="B31" s="5" t="s">
        <v>513</v>
      </c>
    </row>
    <row r="32" ht="15">
      <c r="B32" s="5" t="s">
        <v>916</v>
      </c>
    </row>
    <row r="33" ht="15">
      <c r="B33" s="5" t="s">
        <v>917</v>
      </c>
    </row>
    <row r="34" ht="10.5" customHeight="1"/>
    <row r="35" spans="1:2" ht="15">
      <c r="A35" s="67" t="s">
        <v>164</v>
      </c>
      <c r="B35" s="6" t="s">
        <v>104</v>
      </c>
    </row>
    <row r="36" spans="4:10" ht="15">
      <c r="D36" s="205" t="s">
        <v>594</v>
      </c>
      <c r="E36" s="389"/>
      <c r="F36" s="205" t="s">
        <v>568</v>
      </c>
      <c r="G36" s="389"/>
      <c r="H36" s="205">
        <v>2006</v>
      </c>
      <c r="I36" s="389"/>
      <c r="J36" s="215">
        <v>2005</v>
      </c>
    </row>
    <row r="37" spans="4:10" ht="15">
      <c r="D37" s="205" t="s">
        <v>571</v>
      </c>
      <c r="E37" s="389"/>
      <c r="F37" s="205" t="s">
        <v>569</v>
      </c>
      <c r="G37" s="389"/>
      <c r="H37" s="205"/>
      <c r="I37" s="389"/>
      <c r="J37" s="215"/>
    </row>
    <row r="38" spans="4:10" ht="15">
      <c r="D38" s="205" t="s">
        <v>570</v>
      </c>
      <c r="E38" s="389"/>
      <c r="F38" s="205" t="s">
        <v>570</v>
      </c>
      <c r="G38" s="389"/>
      <c r="H38" s="205"/>
      <c r="I38" s="389"/>
      <c r="J38" s="215"/>
    </row>
    <row r="39" spans="4:10" ht="15">
      <c r="D39" s="479" t="s">
        <v>541</v>
      </c>
      <c r="E39" s="479"/>
      <c r="F39" s="480"/>
      <c r="G39" s="480"/>
      <c r="H39" s="480"/>
      <c r="I39" s="480"/>
      <c r="J39" s="480"/>
    </row>
    <row r="40" ht="15">
      <c r="B40" s="6" t="s">
        <v>355</v>
      </c>
    </row>
    <row r="41" spans="2:10" ht="15">
      <c r="B41" s="5" t="s">
        <v>105</v>
      </c>
      <c r="D41" s="145">
        <v>875</v>
      </c>
      <c r="E41" s="145"/>
      <c r="F41" s="145">
        <v>875</v>
      </c>
      <c r="G41" s="145"/>
      <c r="H41" s="164">
        <f>D41+F41</f>
        <v>1750</v>
      </c>
      <c r="I41" s="164"/>
      <c r="J41" s="458">
        <v>1250</v>
      </c>
    </row>
    <row r="42" spans="2:10" ht="15">
      <c r="B42" s="5" t="s">
        <v>106</v>
      </c>
      <c r="D42" s="266">
        <v>100</v>
      </c>
      <c r="E42" s="145"/>
      <c r="F42" s="266">
        <v>100</v>
      </c>
      <c r="G42" s="145"/>
      <c r="H42" s="266">
        <f>F42+D42</f>
        <v>200</v>
      </c>
      <c r="I42" s="145"/>
      <c r="J42" s="459">
        <v>200</v>
      </c>
    </row>
    <row r="43" spans="4:10" ht="15">
      <c r="D43" s="145">
        <f>SUM(D41:D42)</f>
        <v>975</v>
      </c>
      <c r="E43" s="145"/>
      <c r="F43" s="145">
        <f>SUM(F41:F42)</f>
        <v>975</v>
      </c>
      <c r="G43" s="145"/>
      <c r="H43" s="145">
        <f>SUM(H41:H42)</f>
        <v>1950</v>
      </c>
      <c r="I43" s="145"/>
      <c r="J43" s="151">
        <f>SUM(J41:J42)</f>
        <v>1450</v>
      </c>
    </row>
    <row r="44" spans="2:10" ht="15">
      <c r="B44" s="6" t="s">
        <v>469</v>
      </c>
      <c r="D44" s="94"/>
      <c r="E44" s="108"/>
      <c r="F44" s="94"/>
      <c r="G44" s="108"/>
      <c r="H44" s="94"/>
      <c r="I44" s="108"/>
      <c r="J44" s="94"/>
    </row>
    <row r="45" spans="2:10" ht="10.5" customHeight="1">
      <c r="B45" s="6"/>
      <c r="D45" s="94"/>
      <c r="E45" s="108"/>
      <c r="F45" s="94"/>
      <c r="G45" s="108"/>
      <c r="H45" s="94"/>
      <c r="I45" s="108"/>
      <c r="J45" s="94"/>
    </row>
    <row r="46" spans="2:10" ht="15">
      <c r="B46" s="5" t="s">
        <v>105</v>
      </c>
      <c r="D46" s="145">
        <v>875</v>
      </c>
      <c r="E46" s="145"/>
      <c r="F46" s="145">
        <v>875</v>
      </c>
      <c r="G46" s="145"/>
      <c r="H46" s="145">
        <f>+D46+F46</f>
        <v>1750</v>
      </c>
      <c r="I46" s="145"/>
      <c r="J46" s="458">
        <v>1250</v>
      </c>
    </row>
    <row r="47" spans="2:10" ht="15">
      <c r="B47" s="5" t="s">
        <v>106</v>
      </c>
      <c r="D47" s="266">
        <v>250</v>
      </c>
      <c r="E47" s="145"/>
      <c r="F47" s="266">
        <v>250</v>
      </c>
      <c r="G47" s="145"/>
      <c r="H47" s="266">
        <f>+SUM(D47:F47)</f>
        <v>500</v>
      </c>
      <c r="I47" s="145"/>
      <c r="J47" s="459">
        <v>500</v>
      </c>
    </row>
    <row r="48" spans="4:10" ht="15">
      <c r="D48" s="142">
        <f>+D47+D46</f>
        <v>1125</v>
      </c>
      <c r="E48" s="145"/>
      <c r="F48" s="142">
        <f>+F47+F46</f>
        <v>1125</v>
      </c>
      <c r="G48" s="145"/>
      <c r="H48" s="142">
        <f>+H47+H46</f>
        <v>2250</v>
      </c>
      <c r="I48" s="145"/>
      <c r="J48" s="146">
        <f>+J47+J46</f>
        <v>1750</v>
      </c>
    </row>
    <row r="49" spans="4:10" ht="15.75" thickBot="1">
      <c r="D49" s="264">
        <f>+D48+'NOTE 42.2 - 42.4'!D43</f>
        <v>2100</v>
      </c>
      <c r="E49" s="145"/>
      <c r="F49" s="264">
        <f>+F48+'NOTE 42.2 - 42.4'!F43</f>
        <v>2100</v>
      </c>
      <c r="G49" s="145"/>
      <c r="H49" s="264">
        <f>+H48+'NOTE 42.2 - 42.4'!H43</f>
        <v>4200</v>
      </c>
      <c r="I49" s="145"/>
      <c r="J49" s="271">
        <f>+J48+'NOTE 42.2 - 42.4'!J43</f>
        <v>3200</v>
      </c>
    </row>
    <row r="50" ht="15.75" thickTop="1"/>
    <row r="53" ht="15">
      <c r="B53" s="20"/>
    </row>
    <row r="54" spans="1:9" ht="15">
      <c r="A54" s="5"/>
      <c r="E54" s="5"/>
      <c r="G54" s="5"/>
      <c r="I54" s="5"/>
    </row>
    <row r="55" spans="1:9" ht="15">
      <c r="A55" s="5"/>
      <c r="E55" s="5"/>
      <c r="G55" s="5"/>
      <c r="I55" s="5"/>
    </row>
    <row r="56" spans="1:9" ht="15">
      <c r="A56" s="5"/>
      <c r="E56" s="5"/>
      <c r="G56" s="5"/>
      <c r="I56" s="5"/>
    </row>
    <row r="57" spans="1:9" ht="15">
      <c r="A57" s="5"/>
      <c r="E57" s="5"/>
      <c r="G57" s="5"/>
      <c r="I57" s="5"/>
    </row>
    <row r="58" spans="1:9" ht="15" hidden="1">
      <c r="A58" s="5"/>
      <c r="E58" s="5"/>
      <c r="G58" s="5"/>
      <c r="I58" s="5"/>
    </row>
    <row r="59" spans="1:9" ht="92.25" customHeight="1" hidden="1">
      <c r="A59" s="5"/>
      <c r="E59" s="5"/>
      <c r="G59" s="5"/>
      <c r="I59" s="5"/>
    </row>
    <row r="60" spans="1:9" ht="15">
      <c r="A60" s="5"/>
      <c r="E60" s="5"/>
      <c r="G60" s="5"/>
      <c r="I60" s="5"/>
    </row>
    <row r="61" spans="1:9" ht="15">
      <c r="A61" s="5"/>
      <c r="E61" s="5"/>
      <c r="G61" s="5"/>
      <c r="I61" s="5"/>
    </row>
    <row r="62" spans="1:9" ht="15">
      <c r="A62" s="5"/>
      <c r="E62" s="5"/>
      <c r="G62" s="5"/>
      <c r="I62" s="5"/>
    </row>
    <row r="63" spans="1:9" ht="15">
      <c r="A63" s="5"/>
      <c r="E63" s="5"/>
      <c r="G63" s="5"/>
      <c r="I63" s="5"/>
    </row>
    <row r="64" spans="1:9" ht="15">
      <c r="A64" s="5"/>
      <c r="E64" s="5"/>
      <c r="G64" s="5"/>
      <c r="I64" s="5"/>
    </row>
    <row r="65" spans="1:9" ht="15">
      <c r="A65" s="5"/>
      <c r="E65" s="5"/>
      <c r="G65" s="5"/>
      <c r="I65" s="5"/>
    </row>
    <row r="66" spans="1:9" ht="15">
      <c r="A66" s="5"/>
      <c r="E66" s="5"/>
      <c r="G66" s="5"/>
      <c r="I66" s="5"/>
    </row>
    <row r="71" ht="12.75" customHeight="1"/>
    <row r="85" spans="8:9" ht="15">
      <c r="H85" s="25"/>
      <c r="I85" s="25"/>
    </row>
    <row r="86" ht="15">
      <c r="A86" s="68"/>
    </row>
    <row r="99" spans="6:10" ht="15">
      <c r="F99" s="38"/>
      <c r="G99" s="38"/>
      <c r="H99" s="34"/>
      <c r="I99" s="38"/>
      <c r="J99" s="38"/>
    </row>
    <row r="104" spans="2:10" ht="15">
      <c r="B104" s="49"/>
      <c r="C104" s="49"/>
      <c r="D104" s="49"/>
      <c r="E104" s="390"/>
      <c r="F104" s="49"/>
      <c r="G104" s="390"/>
      <c r="H104" s="49"/>
      <c r="I104" s="390"/>
      <c r="J104" s="49"/>
    </row>
  </sheetData>
  <mergeCells count="1">
    <mergeCell ref="D39:J39"/>
  </mergeCells>
  <printOptions/>
  <pageMargins left="0.75" right="0.5" top="0.89" bottom="0.64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100" workbookViewId="0" topLeftCell="A1">
      <selection activeCell="C50" sqref="C50"/>
    </sheetView>
  </sheetViews>
  <sheetFormatPr defaultColWidth="9.140625" defaultRowHeight="12.75"/>
  <cols>
    <col min="1" max="1" width="7.28125" style="5" customWidth="1"/>
    <col min="2" max="2" width="2.28125" style="5" customWidth="1"/>
    <col min="3" max="3" width="12.57421875" style="5" customWidth="1"/>
    <col min="4" max="4" width="2.7109375" style="5" customWidth="1"/>
    <col min="5" max="5" width="11.57421875" style="5" bestFit="1" customWidth="1"/>
    <col min="6" max="6" width="1.7109375" style="5" customWidth="1"/>
    <col min="7" max="7" width="11.57421875" style="5" customWidth="1"/>
    <col min="8" max="8" width="1.7109375" style="5" customWidth="1"/>
    <col min="9" max="9" width="13.7109375" style="5" customWidth="1"/>
    <col min="10" max="10" width="1.7109375" style="5" customWidth="1"/>
    <col min="11" max="11" width="12.28125" style="5" customWidth="1"/>
    <col min="12" max="12" width="1.7109375" style="5" customWidth="1"/>
    <col min="13" max="13" width="11.7109375" style="5" customWidth="1"/>
    <col min="14" max="14" width="8.00390625" style="5" customWidth="1"/>
    <col min="15" max="16384" width="9.140625" style="5" customWidth="1"/>
  </cols>
  <sheetData>
    <row r="1" spans="1:2" ht="15">
      <c r="A1" s="120" t="s">
        <v>165</v>
      </c>
      <c r="B1" s="111" t="s">
        <v>341</v>
      </c>
    </row>
    <row r="2" spans="1:2" ht="3.75" customHeight="1">
      <c r="A2" s="120"/>
      <c r="B2" s="91"/>
    </row>
    <row r="3" spans="1:2" ht="15">
      <c r="A3" s="120" t="s">
        <v>166</v>
      </c>
      <c r="B3" s="100" t="s">
        <v>388</v>
      </c>
    </row>
    <row r="4" ht="6.75" customHeight="1"/>
    <row r="5" spans="2:3" ht="15">
      <c r="B5" s="136" t="s">
        <v>582</v>
      </c>
      <c r="C5" s="66" t="s">
        <v>565</v>
      </c>
    </row>
    <row r="6" spans="2:3" ht="15">
      <c r="B6" s="136"/>
      <c r="C6" s="66" t="s">
        <v>566</v>
      </c>
    </row>
    <row r="7" spans="2:3" ht="15">
      <c r="B7" s="20" t="s">
        <v>671</v>
      </c>
      <c r="C7" s="100" t="s">
        <v>583</v>
      </c>
    </row>
    <row r="8" spans="2:3" ht="15">
      <c r="B8" s="20" t="s">
        <v>671</v>
      </c>
      <c r="C8" s="100" t="s">
        <v>584</v>
      </c>
    </row>
    <row r="9" spans="2:3" ht="15">
      <c r="B9" s="20" t="s">
        <v>671</v>
      </c>
      <c r="C9" s="100" t="s">
        <v>585</v>
      </c>
    </row>
    <row r="10" ht="5.25" customHeight="1"/>
    <row r="11" ht="15">
      <c r="B11" s="66" t="s">
        <v>639</v>
      </c>
    </row>
    <row r="12" ht="15">
      <c r="B12" s="5" t="s">
        <v>517</v>
      </c>
    </row>
    <row r="13" ht="7.5" customHeight="1"/>
    <row r="14" spans="2:3" ht="15">
      <c r="B14" s="20" t="s">
        <v>671</v>
      </c>
      <c r="C14" s="5" t="s">
        <v>850</v>
      </c>
    </row>
    <row r="15" spans="2:3" ht="15">
      <c r="B15" s="109" t="s">
        <v>671</v>
      </c>
      <c r="C15" s="5" t="s">
        <v>851</v>
      </c>
    </row>
    <row r="16" spans="2:3" ht="15">
      <c r="B16" s="20" t="s">
        <v>671</v>
      </c>
      <c r="C16" s="5" t="s">
        <v>852</v>
      </c>
    </row>
    <row r="17" ht="6.75" customHeight="1"/>
    <row r="18" spans="1:2" ht="15">
      <c r="A18" s="120" t="s">
        <v>167</v>
      </c>
      <c r="B18" s="124" t="s">
        <v>344</v>
      </c>
    </row>
    <row r="19" spans="1:13" ht="6" customHeight="1">
      <c r="A19" s="91"/>
      <c r="B19" s="91"/>
      <c r="M19" s="95"/>
    </row>
    <row r="20" spans="1:2" ht="15">
      <c r="A20" s="91"/>
      <c r="B20" s="100" t="s">
        <v>637</v>
      </c>
    </row>
    <row r="21" ht="15">
      <c r="B21" s="100" t="s">
        <v>520</v>
      </c>
    </row>
    <row r="22" ht="15">
      <c r="B22" s="5" t="s">
        <v>638</v>
      </c>
    </row>
    <row r="23" spans="7:13" ht="14.25" customHeight="1">
      <c r="G23" s="216"/>
      <c r="H23" s="216"/>
      <c r="I23" s="216">
        <v>2006</v>
      </c>
      <c r="J23" s="202"/>
      <c r="K23" s="278"/>
      <c r="M23" s="278">
        <v>2005</v>
      </c>
    </row>
    <row r="24" spans="7:13" ht="15" customHeight="1">
      <c r="G24" s="481" t="s">
        <v>735</v>
      </c>
      <c r="H24" s="217"/>
      <c r="I24" s="482" t="s">
        <v>636</v>
      </c>
      <c r="J24" s="210"/>
      <c r="K24" s="484" t="s">
        <v>345</v>
      </c>
      <c r="L24" s="210"/>
      <c r="M24" s="484" t="s">
        <v>345</v>
      </c>
    </row>
    <row r="25" spans="7:13" ht="15" customHeight="1">
      <c r="G25" s="481"/>
      <c r="H25" s="217"/>
      <c r="I25" s="483"/>
      <c r="J25" s="210"/>
      <c r="K25" s="484"/>
      <c r="L25" s="210"/>
      <c r="M25" s="484"/>
    </row>
    <row r="26" spans="7:13" ht="15" customHeight="1">
      <c r="G26" s="481"/>
      <c r="H26" s="217"/>
      <c r="I26" s="483"/>
      <c r="J26" s="210"/>
      <c r="K26" s="484"/>
      <c r="L26" s="210"/>
      <c r="M26" s="484"/>
    </row>
    <row r="27" spans="7:13" ht="15" customHeight="1">
      <c r="G27" s="481"/>
      <c r="H27" s="217"/>
      <c r="I27" s="484"/>
      <c r="J27" s="210"/>
      <c r="K27" s="484"/>
      <c r="L27" s="210"/>
      <c r="M27" s="484"/>
    </row>
    <row r="28" spans="7:13" ht="15">
      <c r="G28" s="481"/>
      <c r="H28" s="217"/>
      <c r="I28" s="484"/>
      <c r="J28" s="210"/>
      <c r="K28" s="484"/>
      <c r="L28" s="210"/>
      <c r="M28" s="484"/>
    </row>
    <row r="29" spans="7:13" ht="15">
      <c r="G29" s="481"/>
      <c r="H29" s="217"/>
      <c r="I29" s="484"/>
      <c r="J29" s="210"/>
      <c r="K29" s="484"/>
      <c r="L29" s="210"/>
      <c r="M29" s="484"/>
    </row>
    <row r="30" spans="8:13" ht="15">
      <c r="H30" s="217"/>
      <c r="I30" s="217"/>
      <c r="J30" s="13" t="s">
        <v>540</v>
      </c>
      <c r="L30" s="194"/>
      <c r="M30" s="194"/>
    </row>
    <row r="31" ht="10.5" customHeight="1"/>
    <row r="32" spans="2:13" ht="15">
      <c r="B32" s="206" t="s">
        <v>736</v>
      </c>
      <c r="G32" s="455">
        <v>16194</v>
      </c>
      <c r="H32" s="455"/>
      <c r="I32" s="455">
        <v>-909</v>
      </c>
      <c r="J32" s="460"/>
      <c r="K32" s="142">
        <f>SUM(G32:I32)</f>
        <v>15285</v>
      </c>
      <c r="L32" s="142"/>
      <c r="M32" s="61">
        <v>16000</v>
      </c>
    </row>
    <row r="33" spans="2:13" ht="15">
      <c r="B33" s="206" t="s">
        <v>137</v>
      </c>
      <c r="G33" s="455">
        <v>3425571</v>
      </c>
      <c r="H33" s="455"/>
      <c r="I33" s="455">
        <v>-370818</v>
      </c>
      <c r="J33" s="460"/>
      <c r="K33" s="142">
        <f>SUM(G33:I33)</f>
        <v>3054753</v>
      </c>
      <c r="L33" s="142"/>
      <c r="M33" s="61">
        <v>2961000</v>
      </c>
    </row>
    <row r="34" spans="2:13" ht="15">
      <c r="B34" s="206" t="s">
        <v>63</v>
      </c>
      <c r="G34" s="455">
        <v>374594</v>
      </c>
      <c r="H34" s="455"/>
      <c r="I34" s="455">
        <v>-130827</v>
      </c>
      <c r="J34" s="460"/>
      <c r="K34" s="142">
        <f>SUM(G34:I34)</f>
        <v>243767</v>
      </c>
      <c r="L34" s="142"/>
      <c r="M34" s="61">
        <v>239000</v>
      </c>
    </row>
    <row r="35" spans="2:13" ht="15">
      <c r="B35" s="206" t="s">
        <v>138</v>
      </c>
      <c r="G35" s="455">
        <v>1659632</v>
      </c>
      <c r="H35" s="455"/>
      <c r="I35" s="455">
        <v>-1385808</v>
      </c>
      <c r="J35" s="460"/>
      <c r="K35" s="142">
        <f>SUM(G35:I35)</f>
        <v>273824</v>
      </c>
      <c r="L35" s="142"/>
      <c r="M35" s="61">
        <v>154000</v>
      </c>
    </row>
    <row r="36" spans="7:13" ht="15.75" thickBot="1">
      <c r="G36" s="283">
        <f>SUM(G32:G35)</f>
        <v>5475991</v>
      </c>
      <c r="H36" s="455"/>
      <c r="I36" s="283">
        <f>SUM(I32:I35)</f>
        <v>-1888362</v>
      </c>
      <c r="J36" s="460"/>
      <c r="K36" s="282">
        <f>SUM(K32:K35)</f>
        <v>3587629</v>
      </c>
      <c r="L36" s="460"/>
      <c r="M36" s="283">
        <f>SUM(M32:M35)</f>
        <v>3370000</v>
      </c>
    </row>
    <row r="37" spans="8:13" ht="10.5" customHeight="1" thickTop="1">
      <c r="H37" s="41"/>
      <c r="I37" s="41"/>
      <c r="J37" s="41"/>
      <c r="K37" s="41"/>
      <c r="L37" s="41"/>
      <c r="M37" s="41"/>
    </row>
    <row r="38" spans="1:16" ht="15">
      <c r="A38" s="99" t="s">
        <v>168</v>
      </c>
      <c r="B38" s="66" t="s">
        <v>121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10.5" customHeight="1">
      <c r="A39" s="9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5" ht="29.25" customHeight="1">
      <c r="B40" s="94"/>
      <c r="C40" s="94"/>
      <c r="D40" s="94"/>
      <c r="E40" s="218" t="s">
        <v>575</v>
      </c>
      <c r="F40" s="218"/>
      <c r="G40" s="218" t="s">
        <v>574</v>
      </c>
      <c r="H40" s="218"/>
      <c r="I40" s="218" t="s">
        <v>577</v>
      </c>
      <c r="J40" s="218"/>
      <c r="K40" s="79" t="s">
        <v>356</v>
      </c>
      <c r="L40" s="79"/>
      <c r="M40" s="218" t="s">
        <v>615</v>
      </c>
      <c r="O40" s="79"/>
    </row>
    <row r="41" spans="2:15" ht="15">
      <c r="B41" s="94"/>
      <c r="C41" s="94"/>
      <c r="D41" s="94"/>
      <c r="E41" s="218" t="s">
        <v>576</v>
      </c>
      <c r="F41" s="218"/>
      <c r="G41" s="219" t="s">
        <v>169</v>
      </c>
      <c r="H41" s="218"/>
      <c r="I41" s="218" t="s">
        <v>37</v>
      </c>
      <c r="J41" s="218"/>
      <c r="K41" s="79"/>
      <c r="L41" s="79"/>
      <c r="M41" s="218" t="s">
        <v>616</v>
      </c>
      <c r="O41" s="79"/>
    </row>
    <row r="42" spans="2:15" ht="15">
      <c r="B42" s="94"/>
      <c r="C42" s="94"/>
      <c r="D42" s="94"/>
      <c r="E42" s="225" t="s">
        <v>214</v>
      </c>
      <c r="F42" s="218"/>
      <c r="H42" s="218"/>
      <c r="I42" s="218"/>
      <c r="J42" s="218"/>
      <c r="K42" s="79"/>
      <c r="L42" s="79"/>
      <c r="M42" s="220" t="s">
        <v>215</v>
      </c>
      <c r="O42" s="79"/>
    </row>
    <row r="43" spans="2:15" ht="15">
      <c r="B43" s="94"/>
      <c r="C43" s="94"/>
      <c r="D43" s="94"/>
      <c r="E43" s="218"/>
      <c r="F43" s="218"/>
      <c r="G43" s="218"/>
      <c r="H43" s="218"/>
      <c r="I43" s="13" t="s">
        <v>539</v>
      </c>
      <c r="J43" s="134"/>
      <c r="K43" s="79"/>
      <c r="L43" s="79"/>
      <c r="M43" s="218"/>
      <c r="O43" s="79"/>
    </row>
    <row r="44" spans="2:15" ht="15">
      <c r="B44" s="94" t="s">
        <v>136</v>
      </c>
      <c r="C44" s="94"/>
      <c r="D44" s="94"/>
      <c r="E44" s="62">
        <v>16000</v>
      </c>
      <c r="F44" s="62"/>
      <c r="G44" s="62">
        <v>3255</v>
      </c>
      <c r="H44" s="62"/>
      <c r="I44" s="62">
        <v>-3970</v>
      </c>
      <c r="J44" s="62"/>
      <c r="K44" s="62">
        <v>0</v>
      </c>
      <c r="L44" s="62"/>
      <c r="M44" s="64">
        <f>E44+G44+I44+K44</f>
        <v>15285</v>
      </c>
      <c r="O44" s="24"/>
    </row>
    <row r="45" spans="2:15" ht="15">
      <c r="B45" s="94" t="s">
        <v>137</v>
      </c>
      <c r="C45" s="94"/>
      <c r="D45" s="94"/>
      <c r="E45" s="62">
        <v>2961000</v>
      </c>
      <c r="F45" s="62"/>
      <c r="G45" s="62">
        <v>469799</v>
      </c>
      <c r="H45" s="62"/>
      <c r="I45" s="62">
        <v>-376046</v>
      </c>
      <c r="J45" s="62"/>
      <c r="K45" s="62">
        <v>0</v>
      </c>
      <c r="L45" s="62"/>
      <c r="M45" s="64">
        <f>E45+G45+I45+K45</f>
        <v>3054753</v>
      </c>
      <c r="O45" s="24"/>
    </row>
    <row r="46" spans="2:15" ht="15">
      <c r="B46" s="94" t="s">
        <v>63</v>
      </c>
      <c r="C46" s="94"/>
      <c r="D46" s="94"/>
      <c r="E46" s="62">
        <v>239000</v>
      </c>
      <c r="F46" s="62"/>
      <c r="G46" s="62">
        <v>55378</v>
      </c>
      <c r="H46" s="62"/>
      <c r="I46" s="62">
        <v>-53023</v>
      </c>
      <c r="J46" s="62"/>
      <c r="K46" s="62">
        <v>2412</v>
      </c>
      <c r="L46" s="62"/>
      <c r="M46" s="64">
        <f>E46+G46+I46+K46</f>
        <v>243767</v>
      </c>
      <c r="O46" s="24"/>
    </row>
    <row r="47" spans="2:15" ht="15">
      <c r="B47" s="94" t="s">
        <v>847</v>
      </c>
      <c r="C47" s="94"/>
      <c r="D47" s="94"/>
      <c r="E47" s="62"/>
      <c r="F47" s="62"/>
      <c r="G47" s="62"/>
      <c r="H47" s="62"/>
      <c r="I47" s="62"/>
      <c r="J47" s="62"/>
      <c r="K47" s="62"/>
      <c r="L47" s="62"/>
      <c r="M47" s="64"/>
      <c r="O47" s="24"/>
    </row>
    <row r="48" spans="2:15" ht="15">
      <c r="B48" s="94" t="s">
        <v>848</v>
      </c>
      <c r="C48" s="94"/>
      <c r="D48" s="94"/>
      <c r="E48" s="62">
        <v>164000</v>
      </c>
      <c r="F48" s="62"/>
      <c r="G48" s="62">
        <v>246816</v>
      </c>
      <c r="H48" s="62"/>
      <c r="I48" s="62">
        <v>-136992</v>
      </c>
      <c r="J48" s="62"/>
      <c r="K48" s="62">
        <v>0</v>
      </c>
      <c r="L48" s="62"/>
      <c r="M48" s="64">
        <f>E48+G48+I48+K48</f>
        <v>273824</v>
      </c>
      <c r="O48" s="24"/>
    </row>
    <row r="49" spans="2:15" ht="15.75" thickBot="1">
      <c r="B49" s="94"/>
      <c r="C49" s="101">
        <v>2006</v>
      </c>
      <c r="D49" s="94"/>
      <c r="E49" s="396">
        <f>SUM(E44:E48)</f>
        <v>3380000</v>
      </c>
      <c r="F49" s="396"/>
      <c r="G49" s="396">
        <f>SUM(G44:G48)</f>
        <v>775248</v>
      </c>
      <c r="H49" s="396"/>
      <c r="I49" s="396">
        <f>SUM(I44:I48)</f>
        <v>-570031</v>
      </c>
      <c r="J49" s="396"/>
      <c r="K49" s="396">
        <f>SUM(K44:K48)</f>
        <v>2412</v>
      </c>
      <c r="L49" s="396"/>
      <c r="M49" s="396">
        <f>+M48+M46+M45+M44</f>
        <v>3587629</v>
      </c>
      <c r="O49" s="191"/>
    </row>
    <row r="50" spans="2:15" ht="16.5" thickBot="1" thickTop="1">
      <c r="B50" s="94"/>
      <c r="C50" s="94">
        <v>2005</v>
      </c>
      <c r="D50" s="94"/>
      <c r="E50" s="397">
        <v>3384471</v>
      </c>
      <c r="F50" s="397"/>
      <c r="G50" s="397">
        <v>449000</v>
      </c>
      <c r="H50" s="397"/>
      <c r="I50" s="397">
        <v>-456000</v>
      </c>
      <c r="J50" s="397"/>
      <c r="K50" s="397">
        <v>2000</v>
      </c>
      <c r="L50" s="397"/>
      <c r="M50" s="397">
        <v>3379471</v>
      </c>
      <c r="O50" s="191"/>
    </row>
    <row r="51" ht="15.75" thickTop="1"/>
    <row r="52" spans="1:13" ht="15">
      <c r="A52" s="76"/>
      <c r="B52" s="98"/>
      <c r="C52" s="98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206"/>
      <c r="B53" s="10"/>
      <c r="C53" s="10"/>
      <c r="D53" s="10"/>
      <c r="E53" s="10"/>
      <c r="F53" s="8"/>
      <c r="G53" s="8"/>
      <c r="H53" s="10"/>
      <c r="I53" s="10"/>
      <c r="J53" s="10"/>
      <c r="K53" s="10"/>
      <c r="L53" s="10"/>
      <c r="M53" s="10"/>
    </row>
    <row r="54" spans="1:13" ht="15">
      <c r="A54" s="206"/>
      <c r="B54" s="10"/>
      <c r="C54" s="10"/>
      <c r="D54" s="10"/>
      <c r="E54" s="10"/>
      <c r="F54" s="10"/>
      <c r="G54" s="64"/>
      <c r="H54" s="470"/>
      <c r="I54" s="471"/>
      <c r="J54" s="10"/>
      <c r="K54" s="10"/>
      <c r="L54" s="10"/>
      <c r="M54" s="10"/>
    </row>
    <row r="55" spans="1:13" ht="15">
      <c r="A55" s="206"/>
      <c r="B55" s="10"/>
      <c r="C55" s="10"/>
      <c r="D55" s="10"/>
      <c r="E55" s="10"/>
      <c r="F55" s="10"/>
      <c r="G55" s="64"/>
      <c r="H55" s="470"/>
      <c r="I55" s="471"/>
      <c r="J55" s="10"/>
      <c r="K55" s="10"/>
      <c r="L55" s="10"/>
      <c r="M55" s="10"/>
    </row>
    <row r="56" spans="1:13" ht="15">
      <c r="A56" s="206"/>
      <c r="B56" s="10"/>
      <c r="C56" s="10"/>
      <c r="D56" s="10"/>
      <c r="E56" s="10"/>
      <c r="F56" s="10"/>
      <c r="G56" s="472"/>
      <c r="H56" s="470"/>
      <c r="I56" s="471"/>
      <c r="J56" s="10"/>
      <c r="K56" s="10"/>
      <c r="L56" s="10"/>
      <c r="M56" s="10"/>
    </row>
    <row r="57" spans="1:13" ht="15">
      <c r="A57" s="206"/>
      <c r="B57" s="10"/>
      <c r="C57" s="10"/>
      <c r="D57" s="10"/>
      <c r="E57" s="10"/>
      <c r="F57" s="10"/>
      <c r="G57" s="472"/>
      <c r="H57" s="470"/>
      <c r="I57" s="471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64"/>
      <c r="H58" s="470"/>
      <c r="I58" s="471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64"/>
      <c r="H59" s="470"/>
      <c r="I59" s="471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471"/>
      <c r="H60" s="470"/>
      <c r="I60" s="471"/>
      <c r="J60" s="10"/>
      <c r="K60" s="10"/>
      <c r="L60" s="10"/>
      <c r="M60" s="10"/>
    </row>
    <row r="61" spans="1:13" ht="15">
      <c r="A61" s="206"/>
      <c r="B61" s="10"/>
      <c r="C61" s="10"/>
      <c r="D61" s="10"/>
      <c r="E61" s="10"/>
      <c r="F61" s="10"/>
      <c r="G61" s="471"/>
      <c r="H61" s="470"/>
      <c r="I61" s="471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471"/>
      <c r="H62" s="470"/>
      <c r="I62" s="471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64"/>
      <c r="H63" s="472"/>
      <c r="I63" s="64"/>
      <c r="J63" s="10"/>
      <c r="K63" s="10"/>
      <c r="L63" s="10"/>
      <c r="M63" s="10"/>
    </row>
    <row r="64" spans="5:9" ht="15">
      <c r="E64" s="10"/>
      <c r="G64" s="10"/>
      <c r="I64" s="10"/>
    </row>
  </sheetData>
  <mergeCells count="4">
    <mergeCell ref="G24:G29"/>
    <mergeCell ref="I24:I29"/>
    <mergeCell ref="K24:K29"/>
    <mergeCell ref="M24:M29"/>
  </mergeCells>
  <printOptions/>
  <pageMargins left="0.75" right="0.5" top="0.87" bottom="0.75" header="0.5" footer="0.5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O46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6.421875" style="5" customWidth="1"/>
    <col min="2" max="2" width="12.57421875" style="5" customWidth="1"/>
    <col min="3" max="3" width="3.421875" style="5" customWidth="1"/>
    <col min="4" max="4" width="3.57421875" style="5" customWidth="1"/>
    <col min="5" max="5" width="5.00390625" style="29" customWidth="1"/>
    <col min="6" max="6" width="9.00390625" style="29" customWidth="1"/>
    <col min="7" max="7" width="10.8515625" style="29" customWidth="1"/>
    <col min="8" max="8" width="11.7109375" style="29" customWidth="1"/>
    <col min="9" max="9" width="13.7109375" style="29" customWidth="1"/>
    <col min="10" max="10" width="0.85546875" style="29" customWidth="1"/>
    <col min="11" max="11" width="13.7109375" style="29" customWidth="1"/>
    <col min="12" max="12" width="10.140625" style="5" bestFit="1" customWidth="1"/>
    <col min="13" max="16384" width="9.140625" style="5" customWidth="1"/>
  </cols>
  <sheetData>
    <row r="1" spans="1:11" ht="15">
      <c r="A1" s="120" t="s">
        <v>170</v>
      </c>
      <c r="B1" s="124" t="s">
        <v>347</v>
      </c>
      <c r="C1" s="91"/>
      <c r="D1" s="91"/>
      <c r="E1" s="122"/>
      <c r="F1" s="122"/>
      <c r="G1" s="122"/>
      <c r="H1" s="41"/>
      <c r="I1" s="41"/>
      <c r="J1" s="41"/>
      <c r="K1" s="41"/>
    </row>
    <row r="2" spans="1:11" ht="15">
      <c r="A2" s="91"/>
      <c r="B2" s="91"/>
      <c r="C2" s="91"/>
      <c r="D2" s="91"/>
      <c r="E2" s="122"/>
      <c r="F2" s="122"/>
      <c r="G2" s="122"/>
      <c r="H2" s="122"/>
      <c r="I2" s="122"/>
      <c r="J2" s="122"/>
      <c r="K2" s="122"/>
    </row>
    <row r="3" spans="1:11" ht="15">
      <c r="A3" s="91"/>
      <c r="B3" s="100" t="s">
        <v>572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91"/>
      <c r="B4" s="321" t="s">
        <v>573</v>
      </c>
      <c r="C4" s="91"/>
      <c r="D4" s="91"/>
      <c r="E4" s="122"/>
      <c r="F4" s="122"/>
      <c r="G4" s="122"/>
      <c r="H4" s="122"/>
      <c r="I4" s="122"/>
      <c r="J4" s="122"/>
      <c r="K4" s="122"/>
    </row>
    <row r="5" spans="1:11" ht="15" customHeight="1">
      <c r="A5" s="91"/>
      <c r="B5" s="391"/>
      <c r="C5" s="391"/>
      <c r="D5" s="391"/>
      <c r="E5" s="392"/>
      <c r="F5" s="486">
        <v>2006</v>
      </c>
      <c r="G5" s="486"/>
      <c r="H5" s="486"/>
      <c r="I5" s="486"/>
      <c r="J5" s="486"/>
      <c r="K5" s="486"/>
    </row>
    <row r="6" spans="1:11" ht="39.75" customHeight="1">
      <c r="A6" s="91"/>
      <c r="B6" s="391"/>
      <c r="C6" s="391"/>
      <c r="D6" s="356"/>
      <c r="E6" s="392"/>
      <c r="F6" s="393" t="s">
        <v>737</v>
      </c>
      <c r="G6" s="393" t="s">
        <v>738</v>
      </c>
      <c r="H6" s="393" t="s">
        <v>614</v>
      </c>
      <c r="I6" s="393" t="s">
        <v>350</v>
      </c>
      <c r="J6" s="393"/>
      <c r="K6" s="393" t="s">
        <v>980</v>
      </c>
    </row>
    <row r="7" spans="1:11" ht="15">
      <c r="A7" s="91"/>
      <c r="B7" s="391"/>
      <c r="C7" s="394"/>
      <c r="D7" s="356"/>
      <c r="E7" s="392"/>
      <c r="F7" s="485" t="s">
        <v>567</v>
      </c>
      <c r="G7" s="485"/>
      <c r="H7" s="485"/>
      <c r="I7" s="485"/>
      <c r="J7" s="485"/>
      <c r="K7" s="485"/>
    </row>
    <row r="8" spans="1:15" ht="15">
      <c r="A8" s="91"/>
      <c r="B8" s="395" t="s">
        <v>736</v>
      </c>
      <c r="C8" s="395"/>
      <c r="D8" s="356"/>
      <c r="E8" s="392"/>
      <c r="F8" s="461">
        <v>535</v>
      </c>
      <c r="G8" s="462">
        <v>1875</v>
      </c>
      <c r="H8" s="462">
        <v>845</v>
      </c>
      <c r="I8" s="434">
        <v>0</v>
      </c>
      <c r="J8" s="434"/>
      <c r="K8" s="434">
        <f>SUM(F8:I8)</f>
        <v>3255</v>
      </c>
      <c r="L8" s="29"/>
      <c r="M8" s="29"/>
      <c r="N8" s="29"/>
      <c r="O8" s="29"/>
    </row>
    <row r="9" spans="1:15" ht="15">
      <c r="A9" s="91"/>
      <c r="B9" s="395" t="s">
        <v>137</v>
      </c>
      <c r="C9" s="395"/>
      <c r="D9" s="356"/>
      <c r="E9" s="392"/>
      <c r="F9" s="461">
        <v>47612</v>
      </c>
      <c r="G9" s="462">
        <v>384402</v>
      </c>
      <c r="H9" s="462">
        <v>37785</v>
      </c>
      <c r="I9" s="434">
        <v>0</v>
      </c>
      <c r="J9" s="434"/>
      <c r="K9" s="434">
        <f>SUM(F9:I9)</f>
        <v>469799</v>
      </c>
      <c r="L9" s="29"/>
      <c r="M9" s="29"/>
      <c r="N9" s="29"/>
      <c r="O9" s="29"/>
    </row>
    <row r="10" spans="1:15" ht="15">
      <c r="A10" s="91"/>
      <c r="B10" s="395" t="s">
        <v>659</v>
      </c>
      <c r="C10" s="395"/>
      <c r="D10" s="356"/>
      <c r="E10" s="392"/>
      <c r="F10" s="461">
        <v>6096</v>
      </c>
      <c r="G10" s="462">
        <v>41350</v>
      </c>
      <c r="H10" s="462">
        <v>10344</v>
      </c>
      <c r="I10" s="434">
        <v>-2412</v>
      </c>
      <c r="J10" s="434"/>
      <c r="K10" s="434">
        <f>SUM(F10:I10)</f>
        <v>55378</v>
      </c>
      <c r="L10" s="29"/>
      <c r="M10" s="29"/>
      <c r="N10" s="29"/>
      <c r="O10" s="29"/>
    </row>
    <row r="11" spans="1:15" ht="15">
      <c r="A11" s="91"/>
      <c r="B11" s="395" t="s">
        <v>138</v>
      </c>
      <c r="C11" s="395"/>
      <c r="D11" s="356"/>
      <c r="E11" s="392"/>
      <c r="F11" s="461">
        <v>7489</v>
      </c>
      <c r="G11" s="462">
        <v>157047</v>
      </c>
      <c r="H11" s="462">
        <v>82280</v>
      </c>
      <c r="I11" s="434">
        <v>0</v>
      </c>
      <c r="J11" s="434"/>
      <c r="K11" s="434">
        <f>SUM(F11:I11)</f>
        <v>246816</v>
      </c>
      <c r="L11" s="29"/>
      <c r="M11" s="29"/>
      <c r="N11" s="29"/>
      <c r="O11" s="29"/>
    </row>
    <row r="12" spans="1:15" ht="15.75" thickBot="1">
      <c r="A12" s="91"/>
      <c r="B12" s="391"/>
      <c r="C12" s="391"/>
      <c r="D12" s="356"/>
      <c r="E12" s="392"/>
      <c r="F12" s="463">
        <f>SUM(F8:F11)</f>
        <v>61732</v>
      </c>
      <c r="G12" s="463">
        <f>SUM(G8:G11)</f>
        <v>584674</v>
      </c>
      <c r="H12" s="463">
        <f>SUM(H8:H11)</f>
        <v>131254</v>
      </c>
      <c r="I12" s="463">
        <f>SUM(I8:I11)</f>
        <v>-2412</v>
      </c>
      <c r="J12" s="463"/>
      <c r="K12" s="463">
        <f>SUM(K8:K11)</f>
        <v>775248</v>
      </c>
      <c r="L12" s="29"/>
      <c r="M12" s="29"/>
      <c r="N12" s="29"/>
      <c r="O12" s="29"/>
    </row>
    <row r="13" spans="1:15" ht="15.75" thickTop="1">
      <c r="A13" s="91"/>
      <c r="B13" s="91"/>
      <c r="C13" s="91"/>
      <c r="E13" s="41"/>
      <c r="F13" s="41"/>
      <c r="G13" s="41"/>
      <c r="H13" s="41"/>
      <c r="I13" s="41"/>
      <c r="J13" s="41"/>
      <c r="K13" s="41"/>
      <c r="L13" s="29"/>
      <c r="M13" s="29"/>
      <c r="N13" s="29"/>
      <c r="O13" s="29"/>
    </row>
    <row r="14" spans="1:11" ht="15" hidden="1">
      <c r="A14" s="91"/>
      <c r="B14" s="91"/>
      <c r="C14" s="91"/>
      <c r="D14" s="91"/>
      <c r="E14" s="122"/>
      <c r="F14" s="122"/>
      <c r="G14" s="122"/>
      <c r="H14" s="122"/>
      <c r="I14" s="122"/>
      <c r="J14" s="122"/>
      <c r="K14" s="122"/>
    </row>
    <row r="15" spans="1:11" ht="15">
      <c r="A15" s="67" t="s">
        <v>171</v>
      </c>
      <c r="B15" s="76" t="s">
        <v>739</v>
      </c>
      <c r="C15" s="91"/>
      <c r="D15" s="91"/>
      <c r="E15" s="122"/>
      <c r="F15" s="122"/>
      <c r="G15" s="122"/>
      <c r="H15" s="122"/>
      <c r="I15" s="122"/>
      <c r="J15" s="122"/>
      <c r="K15" s="122"/>
    </row>
    <row r="16" spans="1:11" ht="9" customHeight="1">
      <c r="A16" s="91"/>
      <c r="B16" s="91"/>
      <c r="C16" s="91"/>
      <c r="D16" s="91"/>
      <c r="E16" s="122"/>
      <c r="F16" s="122"/>
      <c r="G16" s="122"/>
      <c r="H16" s="122"/>
      <c r="I16" s="122"/>
      <c r="J16" s="122"/>
      <c r="K16" s="122"/>
    </row>
    <row r="17" spans="1:11" ht="15">
      <c r="A17" s="91"/>
      <c r="B17" s="100" t="s">
        <v>518</v>
      </c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5">
      <c r="A18" s="91"/>
      <c r="B18" s="279" t="s">
        <v>264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">
      <c r="A19" s="91"/>
      <c r="B19" s="100" t="s">
        <v>265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">
      <c r="A20" s="91"/>
      <c r="B20" s="100" t="s">
        <v>266</v>
      </c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">
      <c r="A21" s="91"/>
      <c r="B21" s="100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">
      <c r="A22" s="67" t="s">
        <v>486</v>
      </c>
      <c r="B22" s="6" t="s">
        <v>235</v>
      </c>
      <c r="C22" s="66"/>
      <c r="D22" s="66"/>
      <c r="E22" s="66"/>
      <c r="F22" s="66"/>
      <c r="G22" s="66"/>
      <c r="H22" s="12"/>
      <c r="I22" s="15">
        <v>2006</v>
      </c>
      <c r="J22" s="5"/>
      <c r="K22" s="9">
        <v>2005</v>
      </c>
    </row>
    <row r="23" spans="3:11" ht="15">
      <c r="C23" s="66"/>
      <c r="D23" s="66"/>
      <c r="E23" s="66"/>
      <c r="F23" s="66"/>
      <c r="G23" s="66"/>
      <c r="H23" s="5"/>
      <c r="I23" s="492" t="s">
        <v>832</v>
      </c>
      <c r="J23" s="492"/>
      <c r="K23" s="492"/>
    </row>
    <row r="24" spans="3:11" ht="8.25" customHeight="1">
      <c r="C24" s="66"/>
      <c r="D24" s="66"/>
      <c r="E24" s="66"/>
      <c r="F24" s="66"/>
      <c r="G24" s="66"/>
      <c r="H24" s="5"/>
      <c r="I24" s="95"/>
      <c r="J24" s="95"/>
      <c r="K24" s="95"/>
    </row>
    <row r="25" spans="2:11" ht="15">
      <c r="B25" s="5" t="s">
        <v>55</v>
      </c>
      <c r="C25" s="66"/>
      <c r="D25" s="66"/>
      <c r="E25" s="66"/>
      <c r="F25" s="66"/>
      <c r="G25" s="66"/>
      <c r="H25" s="5"/>
      <c r="I25" s="142">
        <f>-('[1]PL Control sheet '!$G$68)/1000</f>
        <v>2486.88027</v>
      </c>
      <c r="J25" s="33"/>
      <c r="K25" s="146">
        <v>499898</v>
      </c>
    </row>
    <row r="26" spans="2:11" ht="15">
      <c r="B26" s="5" t="s">
        <v>719</v>
      </c>
      <c r="C26" s="66"/>
      <c r="D26" s="66"/>
      <c r="E26" s="66"/>
      <c r="F26" s="66"/>
      <c r="G26" s="66"/>
      <c r="H26" s="5"/>
      <c r="I26" s="142">
        <f>-'[1]PL Control sheet '!$G$69/1000</f>
        <v>66880.975</v>
      </c>
      <c r="J26" s="33"/>
      <c r="K26" s="146">
        <v>0</v>
      </c>
    </row>
    <row r="27" spans="2:11" ht="15">
      <c r="B27" s="5" t="s">
        <v>372</v>
      </c>
      <c r="C27" s="66"/>
      <c r="D27" s="66"/>
      <c r="E27" s="66"/>
      <c r="F27" s="66"/>
      <c r="G27" s="66"/>
      <c r="H27" s="12">
        <v>44.1</v>
      </c>
      <c r="I27" s="142">
        <f>-'[1]PL Control sheet '!$G$70/1000</f>
        <v>3421587.3981999997</v>
      </c>
      <c r="J27" s="33"/>
      <c r="K27" s="146">
        <v>3559403</v>
      </c>
    </row>
    <row r="28" spans="2:11" ht="15">
      <c r="B28" s="378" t="s">
        <v>30</v>
      </c>
      <c r="C28" s="66"/>
      <c r="D28" s="66"/>
      <c r="E28" s="66"/>
      <c r="F28" s="66"/>
      <c r="G28" s="66"/>
      <c r="H28" s="12"/>
      <c r="I28" s="142"/>
      <c r="J28" s="33"/>
      <c r="K28" s="146"/>
    </row>
    <row r="29" spans="2:11" ht="15">
      <c r="B29" s="5" t="s">
        <v>409</v>
      </c>
      <c r="C29" s="66"/>
      <c r="D29" s="66"/>
      <c r="E29" s="66"/>
      <c r="F29" s="66"/>
      <c r="G29" s="66"/>
      <c r="H29" s="12"/>
      <c r="I29" s="142">
        <f>1181957+2363914</f>
        <v>3545871</v>
      </c>
      <c r="J29" s="33"/>
      <c r="K29" s="146">
        <v>0</v>
      </c>
    </row>
    <row r="30" spans="2:11" ht="15">
      <c r="B30" s="5" t="s">
        <v>474</v>
      </c>
      <c r="C30" s="66"/>
      <c r="D30" s="66"/>
      <c r="E30" s="66"/>
      <c r="F30" s="66"/>
      <c r="G30" s="66"/>
      <c r="H30" s="12">
        <v>29</v>
      </c>
      <c r="I30" s="142">
        <f>-'[1]PL Control sheet '!$G$71/1000</f>
        <v>135696.685</v>
      </c>
      <c r="J30" s="33"/>
      <c r="K30" s="146">
        <v>92536</v>
      </c>
    </row>
    <row r="31" spans="2:12" ht="15">
      <c r="B31" s="5" t="s">
        <v>471</v>
      </c>
      <c r="C31" s="66"/>
      <c r="D31" s="66"/>
      <c r="E31" s="66"/>
      <c r="F31" s="66"/>
      <c r="G31" s="66"/>
      <c r="H31" s="12"/>
      <c r="I31" s="142">
        <f>-'[1]PL Control sheet '!$G$72/1000</f>
        <v>73648.69088</v>
      </c>
      <c r="J31" s="33"/>
      <c r="K31" s="146">
        <v>25045</v>
      </c>
      <c r="L31" s="4"/>
    </row>
    <row r="32" spans="3:11" ht="15.75" thickBot="1">
      <c r="C32" s="66"/>
      <c r="D32" s="66"/>
      <c r="E32" s="66"/>
      <c r="F32" s="66"/>
      <c r="G32" s="66"/>
      <c r="H32" s="5"/>
      <c r="I32" s="264">
        <f>SUM(I25:I31)</f>
        <v>7246171.629349999</v>
      </c>
      <c r="J32" s="33"/>
      <c r="K32" s="271">
        <f>SUM(K25:K31)</f>
        <v>4176882</v>
      </c>
    </row>
    <row r="33" spans="2:11" ht="11.25" customHeight="1" thickTop="1">
      <c r="B33" s="169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">
      <c r="A34" s="67" t="s">
        <v>172</v>
      </c>
      <c r="B34" s="5" t="s">
        <v>885</v>
      </c>
      <c r="C34" s="66"/>
      <c r="D34" s="66"/>
      <c r="E34" s="66"/>
      <c r="F34" s="66"/>
      <c r="G34" s="66"/>
      <c r="H34" s="66"/>
      <c r="I34" s="66"/>
      <c r="J34" s="66"/>
      <c r="K34" s="66"/>
    </row>
    <row r="35" spans="2:11" ht="15">
      <c r="B35" s="5" t="s">
        <v>967</v>
      </c>
      <c r="C35" s="66"/>
      <c r="D35" s="66"/>
      <c r="E35" s="66"/>
      <c r="F35" s="66"/>
      <c r="G35" s="66"/>
      <c r="H35" s="66"/>
      <c r="I35" s="66"/>
      <c r="J35" s="66"/>
      <c r="K35" s="66"/>
    </row>
    <row r="36" spans="2:11" ht="15">
      <c r="B36" s="5" t="s">
        <v>317</v>
      </c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1.25" customHeight="1">
      <c r="A37" s="91"/>
      <c r="B37" s="100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">
      <c r="A38" s="67" t="s">
        <v>974</v>
      </c>
      <c r="B38" s="6" t="s">
        <v>236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3:11" ht="9" customHeight="1">
      <c r="C39" s="66"/>
      <c r="D39" s="66"/>
      <c r="E39" s="66"/>
      <c r="F39" s="66"/>
      <c r="G39" s="66"/>
      <c r="H39" s="66"/>
      <c r="I39" s="66"/>
      <c r="J39" s="66"/>
      <c r="K39" s="66"/>
    </row>
    <row r="40" spans="2:12" ht="15">
      <c r="B40" s="5" t="s">
        <v>720</v>
      </c>
      <c r="C40" s="66"/>
      <c r="D40" s="66"/>
      <c r="E40" s="66"/>
      <c r="F40" s="66"/>
      <c r="G40" s="66"/>
      <c r="H40" s="66"/>
      <c r="I40" s="142">
        <f>'[1]Profit and loss'!$C$42</f>
        <v>462079.06875</v>
      </c>
      <c r="J40" s="146"/>
      <c r="K40" s="146">
        <v>335194</v>
      </c>
      <c r="L40" s="3"/>
    </row>
    <row r="41" spans="2:12" ht="15">
      <c r="B41" s="5" t="s">
        <v>471</v>
      </c>
      <c r="C41" s="66"/>
      <c r="D41" s="66"/>
      <c r="E41" s="66"/>
      <c r="F41" s="66"/>
      <c r="G41" s="66"/>
      <c r="H41" s="66"/>
      <c r="I41" s="142">
        <f>'[1]Profit and loss'!$E$42</f>
        <v>668</v>
      </c>
      <c r="J41" s="146"/>
      <c r="K41" s="146">
        <v>15</v>
      </c>
      <c r="L41" s="3"/>
    </row>
    <row r="42" spans="1:11" ht="15.75" thickBot="1">
      <c r="A42" s="91"/>
      <c r="B42" s="100"/>
      <c r="C42" s="66"/>
      <c r="D42" s="66"/>
      <c r="E42" s="66"/>
      <c r="F42" s="66"/>
      <c r="G42" s="66"/>
      <c r="H42" s="66"/>
      <c r="I42" s="264">
        <f>SUM(I40:I41)</f>
        <v>462747.06875</v>
      </c>
      <c r="J42" s="146"/>
      <c r="K42" s="271">
        <f>SUM(K40:K41)</f>
        <v>335209</v>
      </c>
    </row>
    <row r="43" spans="1:11" ht="15.75" thickTop="1">
      <c r="A43" s="91"/>
      <c r="B43" s="100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5">
      <c r="A44" s="91"/>
      <c r="B44" s="100"/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5">
      <c r="A45" s="91"/>
      <c r="B45" s="119"/>
      <c r="C45" s="91"/>
      <c r="D45" s="91"/>
      <c r="E45" s="122"/>
      <c r="F45" s="122"/>
      <c r="G45" s="122"/>
      <c r="H45" s="122"/>
      <c r="I45" s="122"/>
      <c r="J45" s="122"/>
      <c r="K45" s="122"/>
    </row>
    <row r="46" spans="6:11" ht="15">
      <c r="F46" s="35"/>
      <c r="G46" s="35"/>
      <c r="H46" s="35"/>
      <c r="I46" s="35"/>
      <c r="J46" s="35"/>
      <c r="K46" s="47"/>
    </row>
  </sheetData>
  <mergeCells count="3">
    <mergeCell ref="F7:K7"/>
    <mergeCell ref="F5:K5"/>
    <mergeCell ref="I23:K23"/>
  </mergeCells>
  <printOptions/>
  <pageMargins left="0.75" right="0.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J27"/>
  <sheetViews>
    <sheetView zoomScaleSheetLayoutView="100" workbookViewId="0" topLeftCell="A1">
      <selection activeCell="C35" sqref="C35"/>
    </sheetView>
  </sheetViews>
  <sheetFormatPr defaultColWidth="9.140625" defaultRowHeight="12.75"/>
  <cols>
    <col min="1" max="1" width="5.7109375" style="5" customWidth="1"/>
    <col min="2" max="2" width="47.7109375" style="5" customWidth="1"/>
    <col min="3" max="3" width="6.7109375" style="5" customWidth="1"/>
    <col min="4" max="4" width="13.7109375" style="5" customWidth="1"/>
    <col min="5" max="5" width="2.00390625" style="5" customWidth="1"/>
    <col min="6" max="6" width="13.7109375" style="5" customWidth="1"/>
    <col min="7" max="7" width="15.421875" style="5" bestFit="1" customWidth="1"/>
    <col min="8" max="16384" width="7.57421875" style="5" customWidth="1"/>
  </cols>
  <sheetData>
    <row r="1" spans="1:6" ht="16.5" customHeight="1">
      <c r="A1" s="67" t="s">
        <v>789</v>
      </c>
      <c r="B1" s="6" t="s">
        <v>728</v>
      </c>
      <c r="C1" s="6"/>
      <c r="D1" s="15">
        <v>2006</v>
      </c>
      <c r="F1" s="9">
        <v>2005</v>
      </c>
    </row>
    <row r="2" spans="1:6" ht="16.5" customHeight="1">
      <c r="A2" s="67"/>
      <c r="B2" s="6"/>
      <c r="C2" s="6"/>
      <c r="D2" s="492" t="s">
        <v>832</v>
      </c>
      <c r="E2" s="492"/>
      <c r="F2" s="492"/>
    </row>
    <row r="3" spans="4:6" ht="16.5" customHeight="1">
      <c r="D3" s="63"/>
      <c r="E3" s="62"/>
      <c r="F3" s="62"/>
    </row>
    <row r="4" spans="2:6" ht="16.5" customHeight="1">
      <c r="B4" s="5" t="s">
        <v>88</v>
      </c>
      <c r="D4" s="142">
        <f>'P AND L '!J35</f>
        <v>68183787.71510002</v>
      </c>
      <c r="E4" s="146"/>
      <c r="F4" s="146">
        <v>31049235.526319996</v>
      </c>
    </row>
    <row r="5" spans="2:6" ht="16.5" customHeight="1">
      <c r="B5" s="5" t="s">
        <v>89</v>
      </c>
      <c r="D5" s="142"/>
      <c r="E5" s="146"/>
      <c r="F5" s="146"/>
    </row>
    <row r="6" spans="2:6" ht="16.5" customHeight="1">
      <c r="B6" s="5" t="s">
        <v>473</v>
      </c>
      <c r="D6" s="142">
        <v>332029</v>
      </c>
      <c r="E6" s="146"/>
      <c r="F6" s="146">
        <v>347629</v>
      </c>
    </row>
    <row r="7" spans="2:6" ht="16.5" customHeight="1">
      <c r="B7" s="5" t="s">
        <v>793</v>
      </c>
      <c r="D7" s="142">
        <f>77078.95974-7092</f>
        <v>69986.95974</v>
      </c>
      <c r="E7" s="146"/>
      <c r="F7" s="146">
        <v>45363</v>
      </c>
    </row>
    <row r="8" spans="2:6" ht="16.5" customHeight="1">
      <c r="B8" s="5" t="s">
        <v>474</v>
      </c>
      <c r="D8" s="142">
        <v>-135697</v>
      </c>
      <c r="E8" s="146"/>
      <c r="F8" s="146">
        <v>-92536</v>
      </c>
    </row>
    <row r="9" spans="2:6" ht="16.5" customHeight="1">
      <c r="B9" s="5" t="s">
        <v>223</v>
      </c>
      <c r="D9" s="142"/>
      <c r="E9" s="146"/>
      <c r="F9" s="146"/>
    </row>
    <row r="10" spans="2:6" ht="16.5" customHeight="1">
      <c r="B10" s="20" t="s">
        <v>224</v>
      </c>
      <c r="D10" s="142">
        <v>837509.33791</v>
      </c>
      <c r="E10" s="146"/>
      <c r="F10" s="146">
        <v>467972</v>
      </c>
    </row>
    <row r="11" spans="2:7" ht="16.5" customHeight="1">
      <c r="B11" s="20" t="s">
        <v>972</v>
      </c>
      <c r="D11" s="142">
        <v>0</v>
      </c>
      <c r="E11" s="146"/>
      <c r="F11" s="146">
        <v>4687861</v>
      </c>
      <c r="G11" s="36"/>
    </row>
    <row r="12" spans="2:6" ht="16.5" customHeight="1">
      <c r="B12" s="20" t="s">
        <v>701</v>
      </c>
      <c r="D12" s="142">
        <v>0</v>
      </c>
      <c r="E12" s="146"/>
      <c r="F12" s="146">
        <v>395129</v>
      </c>
    </row>
    <row r="13" spans="2:6" ht="16.5" customHeight="1">
      <c r="B13" s="20" t="s">
        <v>973</v>
      </c>
      <c r="D13" s="142">
        <f>'P AND L '!J23</f>
        <v>547691.2438099999</v>
      </c>
      <c r="E13" s="146"/>
      <c r="F13" s="146">
        <v>1551419</v>
      </c>
    </row>
    <row r="14" spans="2:6" ht="16.5" customHeight="1">
      <c r="B14" s="5" t="s">
        <v>55</v>
      </c>
      <c r="D14" s="142">
        <v>-2487</v>
      </c>
      <c r="E14" s="146"/>
      <c r="F14" s="146">
        <v>-499898</v>
      </c>
    </row>
    <row r="15" spans="2:6" ht="16.5" customHeight="1">
      <c r="B15" s="5" t="s">
        <v>19</v>
      </c>
      <c r="D15" s="142">
        <v>-1974628</v>
      </c>
      <c r="E15" s="146"/>
      <c r="F15" s="146">
        <v>-1502639</v>
      </c>
    </row>
    <row r="16" spans="2:6" ht="16.5" customHeight="1">
      <c r="B16" s="5" t="s">
        <v>225</v>
      </c>
      <c r="D16" s="58">
        <f>588206+7092</f>
        <v>595298</v>
      </c>
      <c r="E16" s="146"/>
      <c r="F16" s="146">
        <v>3272502</v>
      </c>
    </row>
    <row r="17" spans="4:10" ht="16.5" customHeight="1" thickBot="1">
      <c r="D17" s="264">
        <f>SUM(D4:D16)</f>
        <v>68453490.25656001</v>
      </c>
      <c r="E17" s="146"/>
      <c r="F17" s="271">
        <f>SUM(F4:F16)</f>
        <v>39722037.526319996</v>
      </c>
      <c r="G17" s="487"/>
      <c r="H17" s="487"/>
      <c r="I17" s="487"/>
      <c r="J17" s="487"/>
    </row>
    <row r="18" spans="4:10" ht="16.5" customHeight="1" thickTop="1">
      <c r="D18" s="145"/>
      <c r="E18" s="146"/>
      <c r="F18" s="151"/>
      <c r="G18" s="351"/>
      <c r="H18" s="351"/>
      <c r="I18" s="351"/>
      <c r="J18" s="351"/>
    </row>
    <row r="19" spans="1:6" ht="16.5" customHeight="1">
      <c r="A19" s="67" t="s">
        <v>933</v>
      </c>
      <c r="B19" s="6" t="s">
        <v>237</v>
      </c>
      <c r="C19" s="6"/>
      <c r="D19" s="142"/>
      <c r="E19" s="146"/>
      <c r="F19" s="146"/>
    </row>
    <row r="20" spans="2:6" ht="16.5" customHeight="1">
      <c r="B20" s="103"/>
      <c r="C20" s="103"/>
      <c r="D20" s="63"/>
      <c r="E20" s="62"/>
      <c r="F20" s="62"/>
    </row>
    <row r="21" spans="2:6" ht="16.5" customHeight="1">
      <c r="B21" s="5" t="s">
        <v>975</v>
      </c>
      <c r="D21" s="280">
        <f>'NOTE 7 - 12.1'!K35</f>
        <v>3004808</v>
      </c>
      <c r="E21" s="146"/>
      <c r="F21" s="281">
        <v>3106831</v>
      </c>
    </row>
    <row r="22" spans="2:7" ht="16.5" customHeight="1">
      <c r="B22" s="5" t="s">
        <v>821</v>
      </c>
      <c r="D22" s="280">
        <v>686892181.72729</v>
      </c>
      <c r="E22" s="151"/>
      <c r="F22" s="281">
        <f>609286705+4507185</f>
        <v>613793890</v>
      </c>
      <c r="G22" s="36"/>
    </row>
    <row r="23" spans="2:7" ht="16.5" customHeight="1">
      <c r="B23" s="5" t="s">
        <v>92</v>
      </c>
      <c r="D23" s="280">
        <v>0</v>
      </c>
      <c r="E23" s="151"/>
      <c r="F23" s="281">
        <v>11937000</v>
      </c>
      <c r="G23" s="36"/>
    </row>
    <row r="24" spans="2:6" ht="16.5" customHeight="1">
      <c r="B24" s="5" t="s">
        <v>519</v>
      </c>
      <c r="D24" s="280">
        <v>13124079</v>
      </c>
      <c r="E24" s="151"/>
      <c r="F24" s="281">
        <v>13569242</v>
      </c>
    </row>
    <row r="25" spans="4:10" ht="16.5" customHeight="1" thickBot="1">
      <c r="D25" s="282">
        <f>SUM(D21:D24)</f>
        <v>703021068.72729</v>
      </c>
      <c r="E25" s="146"/>
      <c r="F25" s="283">
        <f>SUM(F21:F24)</f>
        <v>642406963</v>
      </c>
      <c r="G25" s="487"/>
      <c r="H25" s="487"/>
      <c r="I25" s="487"/>
      <c r="J25" s="487"/>
    </row>
    <row r="26" spans="4:6" ht="15.75" thickTop="1">
      <c r="D26" s="29"/>
      <c r="E26" s="29"/>
      <c r="F26" s="29"/>
    </row>
    <row r="27" spans="4:6" ht="15">
      <c r="D27" s="29"/>
      <c r="E27" s="29"/>
      <c r="F27" s="29"/>
    </row>
  </sheetData>
  <mergeCells count="3">
    <mergeCell ref="D2:F2"/>
    <mergeCell ref="G17:J17"/>
    <mergeCell ref="G25:J25"/>
  </mergeCells>
  <printOptions/>
  <pageMargins left="0.75" right="0.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tabColor indexed="29"/>
    <pageSetUpPr fitToPage="1"/>
  </sheetPr>
  <dimension ref="A1:U129"/>
  <sheetViews>
    <sheetView view="pageBreakPreview" zoomScale="50" zoomScaleSheetLayoutView="50" workbookViewId="0" topLeftCell="A1">
      <selection activeCell="D72" sqref="D72"/>
    </sheetView>
  </sheetViews>
  <sheetFormatPr defaultColWidth="9.140625" defaultRowHeight="12.75"/>
  <cols>
    <col min="1" max="1" width="6.28125" style="182" customWidth="1"/>
    <col min="2" max="2" width="42.7109375" style="7" customWidth="1"/>
    <col min="3" max="3" width="1.8515625" style="7" hidden="1" customWidth="1"/>
    <col min="4" max="4" width="15.8515625" style="7" bestFit="1" customWidth="1"/>
    <col min="5" max="5" width="1.7109375" style="7" customWidth="1"/>
    <col min="6" max="6" width="13.8515625" style="7" bestFit="1" customWidth="1"/>
    <col min="7" max="7" width="1.7109375" style="7" customWidth="1"/>
    <col min="8" max="8" width="15.57421875" style="7" bestFit="1" customWidth="1"/>
    <col min="9" max="9" width="1.7109375" style="7" customWidth="1"/>
    <col min="10" max="10" width="15.00390625" style="7" bestFit="1" customWidth="1"/>
    <col min="11" max="11" width="1.7109375" style="7" customWidth="1"/>
    <col min="12" max="12" width="14.7109375" style="7" bestFit="1" customWidth="1"/>
    <col min="13" max="13" width="1.7109375" style="7" customWidth="1"/>
    <col min="14" max="14" width="15.8515625" style="7" bestFit="1" customWidth="1"/>
    <col min="15" max="15" width="1.28515625" style="7" customWidth="1"/>
    <col min="16" max="16" width="15.8515625" style="7" bestFit="1" customWidth="1"/>
    <col min="17" max="17" width="14.00390625" style="5" customWidth="1"/>
    <col min="18" max="18" width="14.421875" style="5" hidden="1" customWidth="1"/>
    <col min="19" max="19" width="10.7109375" style="5" hidden="1" customWidth="1"/>
    <col min="20" max="20" width="11.140625" style="5" hidden="1" customWidth="1"/>
    <col min="21" max="21" width="12.57421875" style="5" bestFit="1" customWidth="1"/>
    <col min="22" max="16384" width="7.57421875" style="5" customWidth="1"/>
  </cols>
  <sheetData>
    <row r="1" spans="1:16" ht="15">
      <c r="A1" s="173" t="s">
        <v>394</v>
      </c>
      <c r="B1" s="284" t="s">
        <v>918</v>
      </c>
      <c r="C1" s="58"/>
      <c r="D1" s="6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0.5" customHeight="1">
      <c r="A2" s="173"/>
      <c r="B2" s="58"/>
      <c r="C2" s="58"/>
      <c r="D2" s="6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173"/>
      <c r="B3" s="137" t="s">
        <v>79</v>
      </c>
      <c r="C3" s="58"/>
      <c r="D3" s="65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">
      <c r="A4" s="173"/>
      <c r="B4" s="137"/>
      <c r="C4" s="58"/>
      <c r="D4" s="488">
        <v>2006</v>
      </c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</row>
    <row r="5" spans="1:16" ht="15">
      <c r="A5" s="173"/>
      <c r="B5" s="58"/>
      <c r="C5" s="58"/>
      <c r="D5" s="65"/>
      <c r="E5" s="58"/>
      <c r="F5" s="58"/>
      <c r="G5" s="58"/>
      <c r="H5" s="58"/>
      <c r="I5" s="58"/>
      <c r="J5" s="58"/>
      <c r="K5" s="58"/>
      <c r="L5" s="58"/>
      <c r="M5" s="58"/>
      <c r="P5" s="65" t="s">
        <v>832</v>
      </c>
    </row>
    <row r="6" spans="1:16" s="6" customFormat="1" ht="14.25">
      <c r="A6" s="174"/>
      <c r="B6" s="58"/>
      <c r="C6" s="58"/>
      <c r="D6" s="489" t="s">
        <v>53</v>
      </c>
      <c r="E6" s="489"/>
      <c r="F6" s="489"/>
      <c r="G6" s="489"/>
      <c r="H6" s="489"/>
      <c r="I6" s="58"/>
      <c r="J6" s="489" t="s">
        <v>647</v>
      </c>
      <c r="K6" s="489"/>
      <c r="L6" s="489"/>
      <c r="M6" s="489"/>
      <c r="N6" s="489"/>
      <c r="O6" s="176"/>
      <c r="P6" s="58"/>
    </row>
    <row r="7" spans="1:16" s="6" customFormat="1" ht="12.75" customHeight="1">
      <c r="A7" s="174"/>
      <c r="B7" s="5"/>
      <c r="C7" s="46"/>
      <c r="D7" s="177" t="s">
        <v>35</v>
      </c>
      <c r="E7" s="178"/>
      <c r="F7" s="177" t="s">
        <v>35</v>
      </c>
      <c r="G7" s="178"/>
      <c r="H7" s="177" t="s">
        <v>980</v>
      </c>
      <c r="I7" s="46"/>
      <c r="J7" s="177" t="s">
        <v>35</v>
      </c>
      <c r="K7" s="178"/>
      <c r="L7" s="177" t="s">
        <v>35</v>
      </c>
      <c r="M7" s="178"/>
      <c r="N7" s="177" t="s">
        <v>980</v>
      </c>
      <c r="O7" s="59"/>
      <c r="P7" s="177" t="s">
        <v>34</v>
      </c>
    </row>
    <row r="8" spans="1:16" s="6" customFormat="1" ht="15">
      <c r="A8" s="174"/>
      <c r="B8" s="5"/>
      <c r="C8" s="46"/>
      <c r="D8" s="179" t="s">
        <v>36</v>
      </c>
      <c r="E8" s="180"/>
      <c r="F8" s="179" t="s">
        <v>38</v>
      </c>
      <c r="G8" s="180"/>
      <c r="H8" s="179"/>
      <c r="I8" s="46"/>
      <c r="J8" s="179" t="s">
        <v>36</v>
      </c>
      <c r="K8" s="180"/>
      <c r="L8" s="179" t="s">
        <v>38</v>
      </c>
      <c r="M8" s="180"/>
      <c r="N8" s="179"/>
      <c r="O8" s="59"/>
      <c r="P8" s="179" t="s">
        <v>980</v>
      </c>
    </row>
    <row r="9" spans="1:16" s="6" customFormat="1" ht="16.5" customHeight="1">
      <c r="A9" s="174"/>
      <c r="B9" s="46"/>
      <c r="C9" s="46"/>
      <c r="D9" s="181" t="s">
        <v>37</v>
      </c>
      <c r="E9" s="175"/>
      <c r="F9" s="181" t="s">
        <v>39</v>
      </c>
      <c r="G9" s="175"/>
      <c r="H9" s="181"/>
      <c r="I9" s="46"/>
      <c r="J9" s="181" t="s">
        <v>37</v>
      </c>
      <c r="K9" s="175"/>
      <c r="L9" s="181" t="s">
        <v>39</v>
      </c>
      <c r="M9" s="175"/>
      <c r="N9" s="181"/>
      <c r="O9" s="59"/>
      <c r="P9" s="181"/>
    </row>
    <row r="10" spans="2:17" ht="15">
      <c r="B10" s="174" t="s">
        <v>133</v>
      </c>
      <c r="C10" s="5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9"/>
    </row>
    <row r="11" spans="2:16" ht="10.5" customHeight="1">
      <c r="B11" s="18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20" ht="15.75" customHeight="1">
      <c r="B12" s="182" t="s">
        <v>222</v>
      </c>
      <c r="D12" s="146">
        <v>0</v>
      </c>
      <c r="E12" s="151"/>
      <c r="F12" s="146">
        <v>0</v>
      </c>
      <c r="G12" s="151"/>
      <c r="H12" s="146">
        <f>D12+F12</f>
        <v>0</v>
      </c>
      <c r="I12" s="151"/>
      <c r="J12" s="146">
        <v>3004808</v>
      </c>
      <c r="K12" s="151"/>
      <c r="L12" s="281">
        <v>0</v>
      </c>
      <c r="M12" s="151"/>
      <c r="N12" s="281">
        <f>J12+L12</f>
        <v>3004808</v>
      </c>
      <c r="O12" s="151"/>
      <c r="P12" s="281">
        <f>+N12+H12</f>
        <v>3004808</v>
      </c>
      <c r="Q12" s="8"/>
      <c r="R12" s="183">
        <f>'NOTE 7 - 12.1'!K35</f>
        <v>3004808</v>
      </c>
      <c r="S12" s="8">
        <f>R12-P12</f>
        <v>0</v>
      </c>
      <c r="T12" s="183"/>
    </row>
    <row r="13" spans="2:19" ht="15.75" customHeight="1">
      <c r="B13" s="182" t="s">
        <v>323</v>
      </c>
      <c r="D13" s="146">
        <v>674323172</v>
      </c>
      <c r="E13" s="151"/>
      <c r="F13" s="146">
        <v>2642813</v>
      </c>
      <c r="G13" s="151"/>
      <c r="H13" s="146">
        <f>D13+F13</f>
        <v>676965985</v>
      </c>
      <c r="I13" s="151"/>
      <c r="J13" s="146">
        <f>20325128-7888976</f>
        <v>12436152</v>
      </c>
      <c r="K13" s="151"/>
      <c r="L13" s="146">
        <v>478900</v>
      </c>
      <c r="M13" s="151"/>
      <c r="N13" s="281">
        <f>J13+L13</f>
        <v>12915052</v>
      </c>
      <c r="O13" s="151"/>
      <c r="P13" s="281">
        <f>+N13+H13</f>
        <v>689881037</v>
      </c>
      <c r="R13" s="183">
        <f>'NOTE 5 - 6.5'!L15</f>
        <v>689881037</v>
      </c>
      <c r="S13" s="8">
        <f>R13-P13</f>
        <v>0</v>
      </c>
    </row>
    <row r="14" spans="2:18" ht="15.75" customHeight="1">
      <c r="B14" s="182" t="s">
        <v>40</v>
      </c>
      <c r="D14" s="61"/>
      <c r="E14" s="61"/>
      <c r="F14" s="61"/>
      <c r="G14" s="151"/>
      <c r="H14" s="146"/>
      <c r="I14" s="151"/>
      <c r="J14" s="146"/>
      <c r="K14" s="151"/>
      <c r="L14" s="146"/>
      <c r="M14" s="151"/>
      <c r="N14" s="281"/>
      <c r="O14" s="151"/>
      <c r="P14" s="281"/>
      <c r="R14" s="183"/>
    </row>
    <row r="15" spans="2:19" ht="15.75" customHeight="1">
      <c r="B15" s="182" t="s">
        <v>364</v>
      </c>
      <c r="C15" s="184"/>
      <c r="D15" s="146">
        <v>13124079</v>
      </c>
      <c r="E15" s="151"/>
      <c r="F15" s="146">
        <v>0</v>
      </c>
      <c r="G15" s="151"/>
      <c r="H15" s="146">
        <f>D15+F15</f>
        <v>13124079</v>
      </c>
      <c r="I15" s="151"/>
      <c r="J15" s="146">
        <v>0</v>
      </c>
      <c r="K15" s="151"/>
      <c r="L15" s="146">
        <v>0</v>
      </c>
      <c r="M15" s="151"/>
      <c r="N15" s="281">
        <f>J15+L15</f>
        <v>0</v>
      </c>
      <c r="O15" s="151"/>
      <c r="P15" s="281">
        <f>+N15+H15</f>
        <v>13124079</v>
      </c>
      <c r="R15" s="183">
        <f>'NOTE 7 - 12.1'!K16</f>
        <v>13124079</v>
      </c>
      <c r="S15" s="8">
        <f>R15-P15</f>
        <v>0</v>
      </c>
    </row>
    <row r="16" spans="2:18" ht="15.75" customHeight="1">
      <c r="B16" s="182" t="s">
        <v>41</v>
      </c>
      <c r="C16" s="184"/>
      <c r="D16" s="281"/>
      <c r="E16" s="151"/>
      <c r="F16" s="281"/>
      <c r="G16" s="151"/>
      <c r="H16" s="281"/>
      <c r="I16" s="151"/>
      <c r="J16" s="281"/>
      <c r="K16" s="151"/>
      <c r="L16" s="281"/>
      <c r="M16" s="151"/>
      <c r="N16" s="281"/>
      <c r="O16" s="151"/>
      <c r="P16" s="281"/>
      <c r="R16" s="183"/>
    </row>
    <row r="17" spans="2:19" ht="15.75" customHeight="1">
      <c r="B17" s="182" t="s">
        <v>753</v>
      </c>
      <c r="C17" s="184"/>
      <c r="D17" s="146">
        <v>0</v>
      </c>
      <c r="E17" s="151"/>
      <c r="F17" s="146">
        <v>0</v>
      </c>
      <c r="G17" s="151"/>
      <c r="H17" s="146">
        <f>D17+F17</f>
        <v>0</v>
      </c>
      <c r="I17" s="151"/>
      <c r="J17" s="146">
        <v>10525</v>
      </c>
      <c r="K17" s="151"/>
      <c r="L17" s="146">
        <v>0</v>
      </c>
      <c r="M17" s="151"/>
      <c r="N17" s="281">
        <f>J17+L17</f>
        <v>10525</v>
      </c>
      <c r="O17" s="151"/>
      <c r="P17" s="281">
        <f>+N17+H17</f>
        <v>10525</v>
      </c>
      <c r="R17" s="183">
        <f>'NOTE 13 - 17'!I38</f>
        <v>10524.794459998608</v>
      </c>
      <c r="S17" s="8">
        <f>R17-P17</f>
        <v>-0.2055400013923645</v>
      </c>
    </row>
    <row r="18" spans="2:19" ht="15.75" customHeight="1">
      <c r="B18" s="182" t="s">
        <v>144</v>
      </c>
      <c r="D18" s="281">
        <v>8904268</v>
      </c>
      <c r="E18" s="151"/>
      <c r="F18" s="281">
        <v>0</v>
      </c>
      <c r="G18" s="151"/>
      <c r="H18" s="146">
        <f>D18+F18</f>
        <v>8904268</v>
      </c>
      <c r="I18" s="151"/>
      <c r="J18" s="281">
        <v>0</v>
      </c>
      <c r="K18" s="151"/>
      <c r="L18" s="281">
        <v>0</v>
      </c>
      <c r="M18" s="151"/>
      <c r="N18" s="281">
        <f>J18+L18</f>
        <v>0</v>
      </c>
      <c r="O18" s="151"/>
      <c r="P18" s="281">
        <f>+N18+H18</f>
        <v>8904268</v>
      </c>
      <c r="R18" s="183">
        <f>'Note 21 - 25.1'!H78</f>
        <v>8904268</v>
      </c>
      <c r="S18" s="8">
        <f>R18-P18</f>
        <v>0</v>
      </c>
    </row>
    <row r="19" spans="2:18" ht="15.75" customHeight="1">
      <c r="B19" s="5" t="s">
        <v>123</v>
      </c>
      <c r="D19" s="281"/>
      <c r="E19" s="151"/>
      <c r="F19" s="281"/>
      <c r="G19" s="151"/>
      <c r="H19" s="146"/>
      <c r="I19" s="151"/>
      <c r="J19" s="281"/>
      <c r="K19" s="151"/>
      <c r="L19" s="281"/>
      <c r="M19" s="151"/>
      <c r="N19" s="281"/>
      <c r="O19" s="151"/>
      <c r="P19" s="281"/>
      <c r="R19" s="183"/>
    </row>
    <row r="20" spans="2:19" ht="15.75" customHeight="1">
      <c r="B20" s="5" t="s">
        <v>124</v>
      </c>
      <c r="D20" s="281">
        <v>0</v>
      </c>
      <c r="E20" s="151"/>
      <c r="F20" s="281">
        <v>0</v>
      </c>
      <c r="G20" s="151"/>
      <c r="H20" s="146">
        <f>D20+F20</f>
        <v>0</v>
      </c>
      <c r="I20" s="151"/>
      <c r="J20" s="281">
        <v>2080</v>
      </c>
      <c r="K20" s="151"/>
      <c r="L20" s="281">
        <v>0</v>
      </c>
      <c r="M20" s="151"/>
      <c r="N20" s="281">
        <f>J20+L20</f>
        <v>2080</v>
      </c>
      <c r="O20" s="151"/>
      <c r="P20" s="281">
        <f>+N20+H20</f>
        <v>2080</v>
      </c>
      <c r="R20" s="183">
        <f>'BS-BAN'!I18</f>
        <v>2080</v>
      </c>
      <c r="S20" s="8">
        <f>R20-P20</f>
        <v>0</v>
      </c>
    </row>
    <row r="21" spans="2:21" ht="15.75" customHeight="1">
      <c r="B21" s="182" t="s">
        <v>678</v>
      </c>
      <c r="D21" s="146">
        <f>513842722+1029261</f>
        <v>514871983</v>
      </c>
      <c r="E21" s="151"/>
      <c r="F21" s="146">
        <v>2740000</v>
      </c>
      <c r="G21" s="151"/>
      <c r="H21" s="146">
        <f>D21+F21</f>
        <v>517611983</v>
      </c>
      <c r="I21" s="151"/>
      <c r="J21" s="146">
        <v>0</v>
      </c>
      <c r="K21" s="151"/>
      <c r="L21" s="146">
        <v>26337663</v>
      </c>
      <c r="M21" s="151"/>
      <c r="N21" s="281">
        <f>J21+L21</f>
        <v>26337663</v>
      </c>
      <c r="O21" s="151"/>
      <c r="P21" s="281">
        <f>+N21+H21</f>
        <v>543949646</v>
      </c>
      <c r="R21" s="183">
        <f>'NOTE 7 - 12.1'!K84</f>
        <v>543949645.5239301</v>
      </c>
      <c r="S21" s="8">
        <f>R21-P21</f>
        <v>-0.47606992721557617</v>
      </c>
      <c r="U21" s="7"/>
    </row>
    <row r="22" spans="2:21" ht="15.75" customHeight="1">
      <c r="B22" s="182" t="s">
        <v>679</v>
      </c>
      <c r="D22" s="146">
        <f>74492298.6335857+66907-1</f>
        <v>74559204.6335857</v>
      </c>
      <c r="E22" s="151"/>
      <c r="F22" s="146">
        <v>18623074.65839642</v>
      </c>
      <c r="G22" s="151"/>
      <c r="H22" s="146">
        <f>D22+F22+1</f>
        <v>93182280.29198213</v>
      </c>
      <c r="I22" s="151"/>
      <c r="J22" s="146">
        <v>65657693.704175666</v>
      </c>
      <c r="K22" s="151"/>
      <c r="L22" s="146">
        <v>68337599.56965223</v>
      </c>
      <c r="M22" s="151"/>
      <c r="N22" s="281">
        <f>SUM(J22:L22)+1</f>
        <v>133995294.2738279</v>
      </c>
      <c r="O22" s="151"/>
      <c r="P22" s="281">
        <f>+N22+H22-1</f>
        <v>227177573.56581002</v>
      </c>
      <c r="R22" s="183">
        <f>'BS-BAN'!I20</f>
        <v>227177573.54081</v>
      </c>
      <c r="S22" s="36">
        <f>R22-P22</f>
        <v>-0.025000035762786865</v>
      </c>
      <c r="U22" s="29"/>
    </row>
    <row r="23" spans="2:18" ht="15.75" customHeight="1">
      <c r="B23" s="182" t="s">
        <v>645</v>
      </c>
      <c r="D23" s="281"/>
      <c r="E23" s="151"/>
      <c r="F23" s="281"/>
      <c r="G23" s="151"/>
      <c r="H23" s="281"/>
      <c r="I23" s="151"/>
      <c r="J23" s="281"/>
      <c r="K23" s="151"/>
      <c r="L23" s="281"/>
      <c r="M23" s="151"/>
      <c r="N23" s="281"/>
      <c r="O23" s="151"/>
      <c r="P23" s="281"/>
      <c r="R23" s="183"/>
    </row>
    <row r="24" spans="2:19" ht="15.75" customHeight="1">
      <c r="B24" s="182" t="s">
        <v>122</v>
      </c>
      <c r="D24" s="146">
        <v>0</v>
      </c>
      <c r="E24" s="151"/>
      <c r="F24" s="281">
        <v>0</v>
      </c>
      <c r="G24" s="151"/>
      <c r="H24" s="146">
        <f>D24+F24</f>
        <v>0</v>
      </c>
      <c r="I24" s="151"/>
      <c r="J24" s="281">
        <v>0</v>
      </c>
      <c r="K24" s="151"/>
      <c r="L24" s="281">
        <v>562568</v>
      </c>
      <c r="M24" s="151"/>
      <c r="N24" s="281">
        <f>J24+L24</f>
        <v>562568</v>
      </c>
      <c r="O24" s="151"/>
      <c r="P24" s="281">
        <f>+N24+H24</f>
        <v>562568</v>
      </c>
      <c r="R24" s="183">
        <f>'BS-ISS'!H17</f>
        <v>562568</v>
      </c>
      <c r="S24" s="36">
        <f>R24-P24</f>
        <v>0</v>
      </c>
    </row>
    <row r="25" spans="2:19" ht="15.75" customHeight="1">
      <c r="B25" s="182" t="s">
        <v>682</v>
      </c>
      <c r="D25" s="281">
        <v>0</v>
      </c>
      <c r="E25" s="151"/>
      <c r="F25" s="281">
        <v>378032</v>
      </c>
      <c r="G25" s="151"/>
      <c r="H25" s="146">
        <f>D25+F25</f>
        <v>378032</v>
      </c>
      <c r="I25" s="151"/>
      <c r="J25" s="281">
        <v>0</v>
      </c>
      <c r="K25" s="151"/>
      <c r="L25" s="281">
        <v>0</v>
      </c>
      <c r="M25" s="151"/>
      <c r="N25" s="281">
        <f>J25+L25</f>
        <v>0</v>
      </c>
      <c r="O25" s="151"/>
      <c r="P25" s="281">
        <f>+N25+H25</f>
        <v>378032</v>
      </c>
      <c r="R25" s="183">
        <f>'NOTE 13 - 17'!I16+'NOTE 13 - 17'!I17+'NOTE 13 - 17'!I18</f>
        <v>378032</v>
      </c>
      <c r="S25" s="36">
        <f>R25-P25</f>
        <v>0</v>
      </c>
    </row>
    <row r="26" spans="2:18" ht="15.75" customHeight="1">
      <c r="B26" s="5" t="s">
        <v>139</v>
      </c>
      <c r="D26" s="281"/>
      <c r="E26" s="151"/>
      <c r="F26" s="281"/>
      <c r="G26" s="151"/>
      <c r="H26" s="146"/>
      <c r="I26" s="151"/>
      <c r="J26" s="281"/>
      <c r="K26" s="151"/>
      <c r="L26" s="281"/>
      <c r="M26" s="151"/>
      <c r="N26" s="281"/>
      <c r="O26" s="151"/>
      <c r="P26" s="281"/>
      <c r="R26" s="183"/>
    </row>
    <row r="27" spans="2:19" ht="15.75" customHeight="1">
      <c r="B27" s="5" t="s">
        <v>326</v>
      </c>
      <c r="D27" s="281">
        <v>0</v>
      </c>
      <c r="E27" s="151"/>
      <c r="F27" s="281">
        <v>3513671</v>
      </c>
      <c r="G27" s="151"/>
      <c r="H27" s="146">
        <f>D27+F27</f>
        <v>3513671</v>
      </c>
      <c r="I27" s="151"/>
      <c r="J27" s="281">
        <v>0</v>
      </c>
      <c r="K27" s="151"/>
      <c r="L27" s="281">
        <v>0</v>
      </c>
      <c r="M27" s="151"/>
      <c r="N27" s="281">
        <f>J27+L27</f>
        <v>0</v>
      </c>
      <c r="O27" s="151"/>
      <c r="P27" s="281">
        <f>+N27+H27</f>
        <v>3513671</v>
      </c>
      <c r="R27" s="183">
        <f>'NOTE 18 - 19.1'!Q11</f>
        <v>3513671.02181</v>
      </c>
      <c r="S27" s="36">
        <f>R27-P27</f>
        <v>0.021809999831020832</v>
      </c>
    </row>
    <row r="28" spans="2:19" ht="15.75" customHeight="1">
      <c r="B28" s="182" t="s">
        <v>684</v>
      </c>
      <c r="D28" s="281">
        <v>0</v>
      </c>
      <c r="E28" s="151"/>
      <c r="F28" s="281">
        <v>0</v>
      </c>
      <c r="G28" s="151"/>
      <c r="H28" s="146">
        <f>D28+F28</f>
        <v>0</v>
      </c>
      <c r="I28" s="151"/>
      <c r="J28" s="281">
        <f>20704214+19792-10000000</f>
        <v>10724006</v>
      </c>
      <c r="K28" s="151"/>
      <c r="L28" s="281">
        <v>1793084</v>
      </c>
      <c r="M28" s="151"/>
      <c r="N28" s="281">
        <f>J28+L28</f>
        <v>12517090</v>
      </c>
      <c r="O28" s="151"/>
      <c r="P28" s="281">
        <f>+N28+H28</f>
        <v>12517090</v>
      </c>
      <c r="Q28" s="36"/>
      <c r="R28" s="183">
        <f>'BS-BAN'!I25</f>
        <v>12517090.49731</v>
      </c>
      <c r="S28" s="29">
        <f>P28-R28</f>
        <v>-0.4973099995404482</v>
      </c>
    </row>
    <row r="29" spans="2:18" ht="15.75" customHeight="1">
      <c r="B29" s="182"/>
      <c r="D29" s="447">
        <f>SUM(D12:D28)</f>
        <v>1285782706.6335857</v>
      </c>
      <c r="E29" s="151"/>
      <c r="F29" s="447">
        <f>SUM(F12:F28)</f>
        <v>27897590.65839642</v>
      </c>
      <c r="G29" s="151"/>
      <c r="H29" s="447">
        <f>SUM(H12:H28)</f>
        <v>1313680298.2919822</v>
      </c>
      <c r="I29" s="151"/>
      <c r="J29" s="447">
        <f>SUM(J12:J28)</f>
        <v>91835264.70417567</v>
      </c>
      <c r="K29" s="151"/>
      <c r="L29" s="447">
        <f>SUM(L12:L28)</f>
        <v>97509814.56965223</v>
      </c>
      <c r="M29" s="151"/>
      <c r="N29" s="447">
        <f>SUM(N12:N28)</f>
        <v>189345080.2738279</v>
      </c>
      <c r="O29" s="151"/>
      <c r="P29" s="447">
        <f>SUM(P12:P28)</f>
        <v>1503025377.56581</v>
      </c>
      <c r="R29" s="183"/>
    </row>
    <row r="30" spans="2:18" ht="15.75" customHeight="1">
      <c r="B30" s="174" t="s">
        <v>134</v>
      </c>
      <c r="C30" s="58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29"/>
      <c r="R30" s="183"/>
    </row>
    <row r="31" spans="2:18" ht="10.5" customHeight="1">
      <c r="B31" s="174"/>
      <c r="C31" s="58"/>
      <c r="D31" s="151"/>
      <c r="E31" s="151"/>
      <c r="F31" s="151"/>
      <c r="G31" s="151"/>
      <c r="H31" s="151"/>
      <c r="I31" s="151"/>
      <c r="J31" s="464"/>
      <c r="K31" s="151"/>
      <c r="L31" s="151"/>
      <c r="M31" s="151"/>
      <c r="N31" s="151"/>
      <c r="O31" s="151"/>
      <c r="P31" s="151"/>
      <c r="R31" s="183"/>
    </row>
    <row r="32" spans="2:19" ht="15.75" customHeight="1">
      <c r="B32" s="182" t="s">
        <v>694</v>
      </c>
      <c r="D32" s="281">
        <v>0</v>
      </c>
      <c r="E32" s="151"/>
      <c r="F32" s="281">
        <v>0</v>
      </c>
      <c r="G32" s="151"/>
      <c r="H32" s="146">
        <f aca="true" t="shared" si="0" ref="H32:H41">D32+F32</f>
        <v>0</v>
      </c>
      <c r="I32" s="151"/>
      <c r="J32" s="465"/>
      <c r="K32" s="151"/>
      <c r="L32" s="281">
        <f>782011372+2363914</f>
        <v>784375286</v>
      </c>
      <c r="M32" s="151"/>
      <c r="N32" s="281">
        <f>J32+L32</f>
        <v>784375286</v>
      </c>
      <c r="O32" s="151"/>
      <c r="P32" s="281">
        <f aca="true" t="shared" si="1" ref="P32:P41">+N32+H32</f>
        <v>784375286</v>
      </c>
      <c r="R32" s="183">
        <f>'BS-ISS'!H31</f>
        <v>784375286</v>
      </c>
      <c r="S32" s="36">
        <f aca="true" t="shared" si="2" ref="S32:S40">R32-P32</f>
        <v>0</v>
      </c>
    </row>
    <row r="33" spans="2:19" ht="15.75" customHeight="1">
      <c r="B33" s="182" t="s">
        <v>695</v>
      </c>
      <c r="D33" s="281">
        <v>0</v>
      </c>
      <c r="E33" s="151"/>
      <c r="F33" s="281">
        <v>0</v>
      </c>
      <c r="G33" s="151"/>
      <c r="H33" s="146">
        <f t="shared" si="0"/>
        <v>0</v>
      </c>
      <c r="I33" s="151"/>
      <c r="J33" s="281">
        <v>472733</v>
      </c>
      <c r="K33" s="151"/>
      <c r="L33" s="281">
        <v>0</v>
      </c>
      <c r="M33" s="151"/>
      <c r="N33" s="281">
        <f aca="true" t="shared" si="3" ref="N33:N41">J33+L33</f>
        <v>472733</v>
      </c>
      <c r="O33" s="151"/>
      <c r="P33" s="281">
        <f t="shared" si="1"/>
        <v>472733</v>
      </c>
      <c r="R33" s="183">
        <f>'BS-BAN'!I30</f>
        <v>472732.63</v>
      </c>
      <c r="S33" s="36">
        <f t="shared" si="2"/>
        <v>-0.3699999999953434</v>
      </c>
    </row>
    <row r="34" spans="2:19" ht="15.75" customHeight="1">
      <c r="B34" s="5" t="s">
        <v>756</v>
      </c>
      <c r="D34" s="281">
        <v>0</v>
      </c>
      <c r="E34" s="151"/>
      <c r="F34" s="281">
        <v>0</v>
      </c>
      <c r="G34" s="151"/>
      <c r="H34" s="146">
        <f t="shared" si="0"/>
        <v>0</v>
      </c>
      <c r="I34" s="151"/>
      <c r="J34" s="281">
        <v>147097122</v>
      </c>
      <c r="K34" s="151"/>
      <c r="L34" s="281">
        <v>0</v>
      </c>
      <c r="M34" s="151"/>
      <c r="N34" s="281">
        <f t="shared" si="3"/>
        <v>147097122</v>
      </c>
      <c r="O34" s="151"/>
      <c r="P34" s="281">
        <f t="shared" si="1"/>
        <v>147097122</v>
      </c>
      <c r="R34" s="183">
        <f>'BS-BAN'!I31</f>
        <v>147097122</v>
      </c>
      <c r="S34" s="36">
        <f t="shared" si="2"/>
        <v>0</v>
      </c>
    </row>
    <row r="35" spans="2:19" ht="15.75" customHeight="1">
      <c r="B35" s="182" t="s">
        <v>763</v>
      </c>
      <c r="D35" s="281">
        <v>60491003</v>
      </c>
      <c r="E35" s="151"/>
      <c r="F35" s="281">
        <v>0</v>
      </c>
      <c r="G35" s="151"/>
      <c r="H35" s="146">
        <f t="shared" si="0"/>
        <v>60491003</v>
      </c>
      <c r="I35" s="151"/>
      <c r="J35" s="281">
        <v>0</v>
      </c>
      <c r="K35" s="151"/>
      <c r="L35" s="281">
        <v>0</v>
      </c>
      <c r="M35" s="151"/>
      <c r="N35" s="281">
        <f t="shared" si="3"/>
        <v>0</v>
      </c>
      <c r="O35" s="151"/>
      <c r="P35" s="281">
        <f t="shared" si="1"/>
        <v>60491003</v>
      </c>
      <c r="R35" s="183">
        <f>'BS-BAN'!I33</f>
        <v>60491003</v>
      </c>
      <c r="S35" s="36">
        <f t="shared" si="2"/>
        <v>0</v>
      </c>
    </row>
    <row r="36" spans="2:19" ht="15.75" customHeight="1">
      <c r="B36" s="5" t="s">
        <v>628</v>
      </c>
      <c r="D36" s="281"/>
      <c r="E36" s="151"/>
      <c r="F36" s="281"/>
      <c r="G36" s="151"/>
      <c r="H36" s="146"/>
      <c r="I36" s="151"/>
      <c r="J36" s="281"/>
      <c r="K36" s="151"/>
      <c r="L36" s="281"/>
      <c r="M36" s="151"/>
      <c r="N36" s="281"/>
      <c r="O36" s="151"/>
      <c r="P36" s="281"/>
      <c r="R36" s="183"/>
      <c r="S36" s="36"/>
    </row>
    <row r="37" spans="2:19" ht="15.75" customHeight="1">
      <c r="B37" s="5" t="s">
        <v>629</v>
      </c>
      <c r="D37" s="281">
        <v>2897163</v>
      </c>
      <c r="E37" s="151"/>
      <c r="F37" s="281">
        <v>0</v>
      </c>
      <c r="G37" s="151"/>
      <c r="H37" s="146">
        <f t="shared" si="0"/>
        <v>2897163</v>
      </c>
      <c r="I37" s="151"/>
      <c r="J37" s="281">
        <v>0</v>
      </c>
      <c r="K37" s="151"/>
      <c r="L37" s="281">
        <v>0</v>
      </c>
      <c r="M37" s="151"/>
      <c r="N37" s="281">
        <f t="shared" si="3"/>
        <v>0</v>
      </c>
      <c r="O37" s="151"/>
      <c r="P37" s="281">
        <f t="shared" si="1"/>
        <v>2897163</v>
      </c>
      <c r="R37" s="183">
        <f>'BS-BAN'!I32</f>
        <v>2897163.4179400057</v>
      </c>
      <c r="S37" s="36">
        <f t="shared" si="2"/>
        <v>0.41794000566005707</v>
      </c>
    </row>
    <row r="38" spans="2:19" ht="15.75" customHeight="1">
      <c r="B38" s="182" t="s">
        <v>140</v>
      </c>
      <c r="D38" s="281">
        <v>0</v>
      </c>
      <c r="E38" s="151"/>
      <c r="F38" s="146">
        <v>43869431</v>
      </c>
      <c r="G38" s="151"/>
      <c r="H38" s="146">
        <f t="shared" si="0"/>
        <v>43869431</v>
      </c>
      <c r="I38" s="151"/>
      <c r="J38" s="281">
        <v>78578316.48</v>
      </c>
      <c r="K38" s="151"/>
      <c r="L38" s="146">
        <v>85126509.52</v>
      </c>
      <c r="M38" s="151"/>
      <c r="N38" s="281">
        <f t="shared" si="3"/>
        <v>163704826</v>
      </c>
      <c r="O38" s="151"/>
      <c r="P38" s="281">
        <f t="shared" si="1"/>
        <v>207574257</v>
      </c>
      <c r="R38" s="183">
        <f>'BS-BAN'!I34</f>
        <v>207574257</v>
      </c>
      <c r="S38" s="36">
        <f t="shared" si="2"/>
        <v>0</v>
      </c>
    </row>
    <row r="39" spans="2:19" ht="15.75" customHeight="1">
      <c r="B39" s="182" t="s">
        <v>657</v>
      </c>
      <c r="D39" s="281">
        <v>57610544</v>
      </c>
      <c r="E39" s="151"/>
      <c r="F39" s="281">
        <v>0</v>
      </c>
      <c r="G39" s="151"/>
      <c r="H39" s="146">
        <f t="shared" si="0"/>
        <v>57610544</v>
      </c>
      <c r="I39" s="151"/>
      <c r="J39" s="281">
        <f>34285767+12744931</f>
        <v>47030698</v>
      </c>
      <c r="K39" s="151"/>
      <c r="L39" s="281">
        <v>0</v>
      </c>
      <c r="M39" s="151"/>
      <c r="N39" s="281">
        <f t="shared" si="3"/>
        <v>47030698</v>
      </c>
      <c r="O39" s="151"/>
      <c r="P39" s="281">
        <f t="shared" si="1"/>
        <v>104641242</v>
      </c>
      <c r="Q39" s="29"/>
      <c r="R39" s="183">
        <f>'BS-BAN'!I35</f>
        <v>104641241.90129</v>
      </c>
      <c r="S39" s="36">
        <f t="shared" si="2"/>
        <v>-0.09871000051498413</v>
      </c>
    </row>
    <row r="40" spans="2:19" ht="15.75" customHeight="1">
      <c r="B40" s="182" t="s">
        <v>200</v>
      </c>
      <c r="D40" s="281">
        <v>6421707.711999999</v>
      </c>
      <c r="E40" s="151"/>
      <c r="F40" s="281">
        <v>83444532.288</v>
      </c>
      <c r="G40" s="151"/>
      <c r="H40" s="146">
        <f t="shared" si="0"/>
        <v>89866240</v>
      </c>
      <c r="I40" s="151"/>
      <c r="J40" s="281">
        <v>0</v>
      </c>
      <c r="K40" s="151"/>
      <c r="L40" s="281">
        <v>0</v>
      </c>
      <c r="M40" s="151"/>
      <c r="N40" s="281">
        <f t="shared" si="3"/>
        <v>0</v>
      </c>
      <c r="O40" s="151"/>
      <c r="P40" s="281">
        <f t="shared" si="1"/>
        <v>89866240</v>
      </c>
      <c r="R40" s="183">
        <f>'BS-BAN'!I36</f>
        <v>89866240.26704</v>
      </c>
      <c r="S40" s="36">
        <f t="shared" si="2"/>
        <v>0.2670399993658066</v>
      </c>
    </row>
    <row r="41" spans="2:20" ht="15.75" customHeight="1">
      <c r="B41" s="182" t="s">
        <v>702</v>
      </c>
      <c r="D41" s="281">
        <v>0</v>
      </c>
      <c r="E41" s="151"/>
      <c r="F41" s="281">
        <v>0</v>
      </c>
      <c r="G41" s="151"/>
      <c r="H41" s="146">
        <f t="shared" si="0"/>
        <v>0</v>
      </c>
      <c r="I41" s="151"/>
      <c r="J41" s="146">
        <f>10445180-14725+401000-1+2364397+10000+39091788</f>
        <v>52297639</v>
      </c>
      <c r="K41" s="151"/>
      <c r="L41" s="281">
        <v>5621737</v>
      </c>
      <c r="M41" s="151"/>
      <c r="N41" s="281">
        <f t="shared" si="3"/>
        <v>57919376</v>
      </c>
      <c r="O41" s="151"/>
      <c r="P41" s="281">
        <f t="shared" si="1"/>
        <v>57919376</v>
      </c>
      <c r="Q41" s="29"/>
      <c r="R41" s="183">
        <f>'BS-BAN'!I37</f>
        <v>58784560.85611</v>
      </c>
      <c r="S41" s="29">
        <f>'NOTE 27.1 - 32'!L9+'NOTE 27.1 - 32'!L8+'NOTE 25.2 - 27'!E41</f>
        <v>3229099.035</v>
      </c>
      <c r="T41" s="36">
        <f>R41-S41</f>
        <v>55555461.821109995</v>
      </c>
    </row>
    <row r="42" spans="2:20" ht="15.75" customHeight="1">
      <c r="B42" s="182"/>
      <c r="D42" s="447">
        <f>SUM(D32:D41)</f>
        <v>127420417.712</v>
      </c>
      <c r="E42" s="151"/>
      <c r="F42" s="447">
        <f>SUM(F32:F41)</f>
        <v>127313963.288</v>
      </c>
      <c r="G42" s="151"/>
      <c r="H42" s="447">
        <f>SUM(H32:H41)</f>
        <v>254734381</v>
      </c>
      <c r="I42" s="151"/>
      <c r="J42" s="447">
        <f>SUM(J32:J41)</f>
        <v>325476508.48</v>
      </c>
      <c r="K42" s="151"/>
      <c r="L42" s="447">
        <f>SUM(L32:L41)</f>
        <v>875123532.52</v>
      </c>
      <c r="M42" s="151"/>
      <c r="N42" s="447">
        <f>SUM(N32:N41)</f>
        <v>1200600041</v>
      </c>
      <c r="O42" s="151"/>
      <c r="P42" s="447">
        <f>SUM(P32:P41)</f>
        <v>1455334422</v>
      </c>
      <c r="R42" s="183"/>
      <c r="T42" s="36">
        <f>T41-P41</f>
        <v>-2363914.1788900048</v>
      </c>
    </row>
    <row r="43" spans="2:20" ht="15.75" customHeight="1" thickBot="1">
      <c r="B43" s="185" t="s">
        <v>729</v>
      </c>
      <c r="D43" s="271">
        <f>D29-D42</f>
        <v>1158362288.9215858</v>
      </c>
      <c r="E43" s="151"/>
      <c r="F43" s="271">
        <f>F29-F42+1</f>
        <v>-99416371.62960358</v>
      </c>
      <c r="G43" s="151"/>
      <c r="H43" s="271">
        <f>H29-H42</f>
        <v>1058945917.2919822</v>
      </c>
      <c r="I43" s="151"/>
      <c r="J43" s="271">
        <f>J29-J42+1</f>
        <v>-233641242.77582437</v>
      </c>
      <c r="K43" s="151"/>
      <c r="L43" s="271">
        <f>L29-L42</f>
        <v>-777613717.9503478</v>
      </c>
      <c r="M43" s="151"/>
      <c r="N43" s="271">
        <f>N29-N42</f>
        <v>-1011254960.7261721</v>
      </c>
      <c r="O43" s="151"/>
      <c r="P43" s="271">
        <f>P29-P42</f>
        <v>47690955.565809965</v>
      </c>
      <c r="R43" s="183"/>
      <c r="T43" s="36"/>
    </row>
    <row r="44" spans="2:20" ht="10.5" customHeight="1" thickTop="1">
      <c r="B44" s="5"/>
      <c r="Q44" s="29"/>
      <c r="T44" s="36"/>
    </row>
    <row r="45" spans="1:20" ht="15.75" customHeight="1">
      <c r="A45" s="381"/>
      <c r="B45" s="182"/>
      <c r="D45" s="490">
        <v>2005</v>
      </c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T45" s="36"/>
    </row>
    <row r="46" spans="2:20" ht="15.75" customHeight="1">
      <c r="B46" s="174" t="s">
        <v>133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T46" s="36"/>
    </row>
    <row r="47" spans="2:20" ht="15.75" customHeight="1">
      <c r="B47" s="182" t="s">
        <v>222</v>
      </c>
      <c r="D47" s="61">
        <v>0</v>
      </c>
      <c r="E47" s="61"/>
      <c r="F47" s="61">
        <v>0</v>
      </c>
      <c r="G47" s="61"/>
      <c r="H47" s="61">
        <f>D47+F47</f>
        <v>0</v>
      </c>
      <c r="I47" s="61"/>
      <c r="J47" s="61">
        <v>3106831</v>
      </c>
      <c r="K47" s="61"/>
      <c r="L47" s="61">
        <v>0</v>
      </c>
      <c r="M47" s="61"/>
      <c r="N47" s="61">
        <f>J47+L47</f>
        <v>3106831</v>
      </c>
      <c r="O47" s="61"/>
      <c r="P47" s="61">
        <f>+N47+H47</f>
        <v>3106831</v>
      </c>
      <c r="T47" s="36"/>
    </row>
    <row r="48" spans="2:20" ht="15.75" customHeight="1">
      <c r="B48" s="182" t="s">
        <v>323</v>
      </c>
      <c r="D48" s="61">
        <v>602006472</v>
      </c>
      <c r="E48" s="61"/>
      <c r="F48" s="61">
        <v>2150157</v>
      </c>
      <c r="G48" s="61"/>
      <c r="H48" s="61">
        <f aca="true" t="shared" si="4" ref="H48:H65">D48+F48</f>
        <v>604156629</v>
      </c>
      <c r="I48" s="61"/>
      <c r="J48" s="61">
        <v>7463400</v>
      </c>
      <c r="K48" s="61"/>
      <c r="L48" s="61">
        <v>407072</v>
      </c>
      <c r="M48" s="61"/>
      <c r="N48" s="61">
        <f aca="true" t="shared" si="5" ref="N48:N65">J48+L48</f>
        <v>7870472</v>
      </c>
      <c r="O48" s="61"/>
      <c r="P48" s="61">
        <f aca="true" t="shared" si="6" ref="P48:P65">+N48+H48</f>
        <v>612027101</v>
      </c>
      <c r="T48" s="36"/>
    </row>
    <row r="49" spans="2:20" ht="15.75" customHeight="1">
      <c r="B49" s="182" t="s">
        <v>252</v>
      </c>
      <c r="D49" s="61">
        <v>11937000</v>
      </c>
      <c r="E49" s="61"/>
      <c r="F49" s="61">
        <v>0</v>
      </c>
      <c r="G49" s="61"/>
      <c r="H49" s="61">
        <f t="shared" si="4"/>
        <v>11937000</v>
      </c>
      <c r="I49" s="61"/>
      <c r="J49" s="61">
        <v>0</v>
      </c>
      <c r="K49" s="61"/>
      <c r="L49" s="61">
        <v>0</v>
      </c>
      <c r="M49" s="61"/>
      <c r="N49" s="61">
        <f t="shared" si="5"/>
        <v>0</v>
      </c>
      <c r="O49" s="61"/>
      <c r="P49" s="61">
        <f t="shared" si="6"/>
        <v>11937000</v>
      </c>
      <c r="T49" s="36"/>
    </row>
    <row r="50" spans="2:20" ht="15.75" customHeight="1">
      <c r="B50" s="182" t="s">
        <v>40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T50" s="36"/>
    </row>
    <row r="51" spans="2:20" ht="15.75" customHeight="1">
      <c r="B51" s="182" t="s">
        <v>364</v>
      </c>
      <c r="D51" s="61">
        <v>13569242</v>
      </c>
      <c r="E51" s="61"/>
      <c r="F51" s="61">
        <v>0</v>
      </c>
      <c r="G51" s="61"/>
      <c r="H51" s="61">
        <f t="shared" si="4"/>
        <v>13569242</v>
      </c>
      <c r="I51" s="61"/>
      <c r="J51" s="61"/>
      <c r="K51" s="61"/>
      <c r="L51" s="61"/>
      <c r="M51" s="61"/>
      <c r="N51" s="61">
        <f t="shared" si="5"/>
        <v>0</v>
      </c>
      <c r="O51" s="61"/>
      <c r="P51" s="61">
        <f t="shared" si="6"/>
        <v>13569242</v>
      </c>
      <c r="T51" s="36"/>
    </row>
    <row r="52" spans="2:20" ht="15.75" customHeight="1">
      <c r="B52" s="182" t="s">
        <v>41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T52" s="36"/>
    </row>
    <row r="53" spans="2:20" ht="15.75" customHeight="1">
      <c r="B53" s="182" t="s">
        <v>753</v>
      </c>
      <c r="D53" s="61">
        <v>0</v>
      </c>
      <c r="E53" s="61"/>
      <c r="F53" s="61">
        <v>0</v>
      </c>
      <c r="G53" s="61"/>
      <c r="H53" s="61">
        <f t="shared" si="4"/>
        <v>0</v>
      </c>
      <c r="I53" s="61"/>
      <c r="J53" s="61">
        <v>10315</v>
      </c>
      <c r="K53" s="61"/>
      <c r="L53" s="61">
        <v>0</v>
      </c>
      <c r="M53" s="61"/>
      <c r="N53" s="61">
        <f t="shared" si="5"/>
        <v>10315</v>
      </c>
      <c r="O53" s="61"/>
      <c r="P53" s="61">
        <f t="shared" si="6"/>
        <v>10315</v>
      </c>
      <c r="T53" s="36"/>
    </row>
    <row r="54" spans="2:20" ht="15.75" customHeight="1">
      <c r="B54" s="182" t="s">
        <v>253</v>
      </c>
      <c r="D54" s="61">
        <v>9115549</v>
      </c>
      <c r="E54" s="61"/>
      <c r="F54" s="61">
        <v>0</v>
      </c>
      <c r="G54" s="61"/>
      <c r="H54" s="61">
        <f t="shared" si="4"/>
        <v>9115549</v>
      </c>
      <c r="I54" s="61"/>
      <c r="J54" s="61">
        <v>0</v>
      </c>
      <c r="K54" s="61"/>
      <c r="L54" s="61">
        <v>0</v>
      </c>
      <c r="M54" s="61"/>
      <c r="N54" s="61">
        <f t="shared" si="5"/>
        <v>0</v>
      </c>
      <c r="O54" s="61"/>
      <c r="P54" s="61">
        <f t="shared" si="6"/>
        <v>9115549</v>
      </c>
      <c r="T54" s="36"/>
    </row>
    <row r="55" spans="2:20" ht="15.75" customHeight="1">
      <c r="B55" s="182" t="s">
        <v>144</v>
      </c>
      <c r="D55" s="61">
        <v>0</v>
      </c>
      <c r="E55" s="61"/>
      <c r="F55" s="61">
        <v>0</v>
      </c>
      <c r="G55" s="61"/>
      <c r="H55" s="61">
        <f t="shared" si="4"/>
        <v>0</v>
      </c>
      <c r="I55" s="61"/>
      <c r="J55" s="61">
        <v>2114045</v>
      </c>
      <c r="K55" s="61"/>
      <c r="L55" s="61">
        <v>0</v>
      </c>
      <c r="M55" s="61"/>
      <c r="N55" s="61">
        <f t="shared" si="5"/>
        <v>2114045</v>
      </c>
      <c r="O55" s="61"/>
      <c r="P55" s="61">
        <f t="shared" si="6"/>
        <v>2114045</v>
      </c>
      <c r="T55" s="36"/>
    </row>
    <row r="56" spans="2:20" ht="15.75" customHeight="1">
      <c r="B56" s="5" t="s">
        <v>123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T56" s="36"/>
    </row>
    <row r="57" spans="2:20" ht="15.75" customHeight="1">
      <c r="B57" s="5" t="s">
        <v>124</v>
      </c>
      <c r="D57" s="61">
        <v>0</v>
      </c>
      <c r="E57" s="61"/>
      <c r="F57" s="61">
        <v>0</v>
      </c>
      <c r="G57" s="61"/>
      <c r="H57" s="61">
        <f t="shared" si="4"/>
        <v>0</v>
      </c>
      <c r="I57" s="61"/>
      <c r="J57" s="61">
        <v>1521</v>
      </c>
      <c r="K57" s="61"/>
      <c r="L57" s="61">
        <v>0</v>
      </c>
      <c r="M57" s="61"/>
      <c r="N57" s="61">
        <f t="shared" si="5"/>
        <v>1521</v>
      </c>
      <c r="O57" s="61"/>
      <c r="P57" s="61">
        <f t="shared" si="6"/>
        <v>1521</v>
      </c>
      <c r="T57" s="36"/>
    </row>
    <row r="58" spans="2:20" ht="15.75" customHeight="1">
      <c r="B58" s="182" t="s">
        <v>678</v>
      </c>
      <c r="D58" s="61">
        <v>328454605</v>
      </c>
      <c r="E58" s="61"/>
      <c r="F58" s="61">
        <v>2740000</v>
      </c>
      <c r="G58" s="61"/>
      <c r="H58" s="61">
        <f t="shared" si="4"/>
        <v>331194605</v>
      </c>
      <c r="I58" s="61"/>
      <c r="J58" s="61">
        <v>0</v>
      </c>
      <c r="K58" s="61"/>
      <c r="L58" s="61">
        <v>29947165</v>
      </c>
      <c r="M58" s="61"/>
      <c r="N58" s="61">
        <f t="shared" si="5"/>
        <v>29947165</v>
      </c>
      <c r="O58" s="61"/>
      <c r="P58" s="61">
        <f t="shared" si="6"/>
        <v>361141770</v>
      </c>
      <c r="T58" s="36"/>
    </row>
    <row r="59" spans="2:20" ht="15.75" customHeight="1">
      <c r="B59" s="182" t="s">
        <v>679</v>
      </c>
      <c r="D59" s="61">
        <v>72871678</v>
      </c>
      <c r="E59" s="61"/>
      <c r="F59" s="61">
        <v>17688000</v>
      </c>
      <c r="G59" s="61"/>
      <c r="H59" s="61">
        <f t="shared" si="4"/>
        <v>90559678</v>
      </c>
      <c r="I59" s="61"/>
      <c r="J59" s="61">
        <v>62546299</v>
      </c>
      <c r="K59" s="61"/>
      <c r="L59" s="61">
        <v>65986321</v>
      </c>
      <c r="M59" s="61"/>
      <c r="N59" s="61">
        <f t="shared" si="5"/>
        <v>128532620</v>
      </c>
      <c r="O59" s="61"/>
      <c r="P59" s="61">
        <f t="shared" si="6"/>
        <v>219092298</v>
      </c>
      <c r="T59" s="36"/>
    </row>
    <row r="60" spans="2:20" ht="15.75" customHeight="1">
      <c r="B60" s="182" t="s">
        <v>645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T60" s="36"/>
    </row>
    <row r="61" spans="2:20" ht="15.75" customHeight="1">
      <c r="B61" s="182" t="s">
        <v>122</v>
      </c>
      <c r="D61" s="61">
        <v>0</v>
      </c>
      <c r="E61" s="61"/>
      <c r="F61" s="61">
        <v>0</v>
      </c>
      <c r="G61" s="61"/>
      <c r="H61" s="61">
        <f t="shared" si="4"/>
        <v>0</v>
      </c>
      <c r="I61" s="61"/>
      <c r="J61" s="61">
        <v>0</v>
      </c>
      <c r="K61" s="61"/>
      <c r="L61" s="61">
        <v>592891</v>
      </c>
      <c r="M61" s="61"/>
      <c r="N61" s="61">
        <f t="shared" si="5"/>
        <v>592891</v>
      </c>
      <c r="O61" s="61"/>
      <c r="P61" s="61">
        <f t="shared" si="6"/>
        <v>592891</v>
      </c>
      <c r="T61" s="36"/>
    </row>
    <row r="62" spans="2:20" ht="15.75" customHeight="1">
      <c r="B62" s="182" t="s">
        <v>682</v>
      </c>
      <c r="D62" s="61">
        <v>0</v>
      </c>
      <c r="E62" s="61"/>
      <c r="F62" s="61">
        <v>375791</v>
      </c>
      <c r="G62" s="61"/>
      <c r="H62" s="61">
        <f t="shared" si="4"/>
        <v>375791</v>
      </c>
      <c r="I62" s="61"/>
      <c r="J62" s="61">
        <v>0</v>
      </c>
      <c r="K62" s="61"/>
      <c r="L62" s="61">
        <v>0</v>
      </c>
      <c r="M62" s="61"/>
      <c r="N62" s="61">
        <f t="shared" si="5"/>
        <v>0</v>
      </c>
      <c r="O62" s="61"/>
      <c r="P62" s="61">
        <f t="shared" si="6"/>
        <v>375791</v>
      </c>
      <c r="T62" s="36"/>
    </row>
    <row r="63" spans="2:20" ht="15.75" customHeight="1">
      <c r="B63" s="5" t="s">
        <v>139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T63" s="36"/>
    </row>
    <row r="64" spans="2:20" ht="15.75" customHeight="1">
      <c r="B64" s="5" t="s">
        <v>326</v>
      </c>
      <c r="D64" s="61">
        <v>0</v>
      </c>
      <c r="E64" s="61"/>
      <c r="F64" s="61">
        <v>3221784</v>
      </c>
      <c r="G64" s="61"/>
      <c r="H64" s="61">
        <f t="shared" si="4"/>
        <v>3221784</v>
      </c>
      <c r="I64" s="61"/>
      <c r="J64" s="61">
        <v>0</v>
      </c>
      <c r="K64" s="61"/>
      <c r="L64" s="61">
        <v>0</v>
      </c>
      <c r="M64" s="61"/>
      <c r="N64" s="61">
        <f t="shared" si="5"/>
        <v>0</v>
      </c>
      <c r="O64" s="61"/>
      <c r="P64" s="61">
        <f t="shared" si="6"/>
        <v>3221784</v>
      </c>
      <c r="T64" s="36"/>
    </row>
    <row r="65" spans="2:20" ht="15.75" customHeight="1">
      <c r="B65" s="182" t="s">
        <v>684</v>
      </c>
      <c r="D65" s="61">
        <v>0</v>
      </c>
      <c r="E65" s="61"/>
      <c r="F65" s="61">
        <v>0</v>
      </c>
      <c r="G65" s="61"/>
      <c r="H65" s="61">
        <f t="shared" si="4"/>
        <v>0</v>
      </c>
      <c r="I65" s="61"/>
      <c r="J65" s="61">
        <v>6030508</v>
      </c>
      <c r="K65" s="61"/>
      <c r="L65" s="61">
        <v>1769463</v>
      </c>
      <c r="M65" s="61"/>
      <c r="N65" s="61">
        <f t="shared" si="5"/>
        <v>7799971</v>
      </c>
      <c r="O65" s="61"/>
      <c r="P65" s="61">
        <f t="shared" si="6"/>
        <v>7799971</v>
      </c>
      <c r="T65" s="36"/>
    </row>
    <row r="66" spans="2:20" ht="15.75" customHeight="1">
      <c r="B66" s="182"/>
      <c r="D66" s="447">
        <f>SUM(D47:D65)</f>
        <v>1037954546</v>
      </c>
      <c r="E66" s="151"/>
      <c r="F66" s="447">
        <f>SUM(F47:F65)</f>
        <v>26175732</v>
      </c>
      <c r="G66" s="151"/>
      <c r="H66" s="447">
        <f>SUM(H47:H65)</f>
        <v>1064130278</v>
      </c>
      <c r="I66" s="151"/>
      <c r="J66" s="447">
        <f>SUM(J47:J65)</f>
        <v>81272919</v>
      </c>
      <c r="K66" s="151"/>
      <c r="L66" s="447">
        <f>SUM(L47:L65)</f>
        <v>98702912</v>
      </c>
      <c r="M66" s="151"/>
      <c r="N66" s="447">
        <f>SUM(N47:N65)</f>
        <v>179975831</v>
      </c>
      <c r="O66" s="151"/>
      <c r="P66" s="447">
        <f>SUM(P47:P65)</f>
        <v>1244106109</v>
      </c>
      <c r="T66" s="36"/>
    </row>
    <row r="67" spans="2:20" ht="15.75" customHeight="1">
      <c r="B67" s="174" t="s">
        <v>134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T67" s="36"/>
    </row>
    <row r="68" spans="2:20" ht="15.75" customHeight="1">
      <c r="B68" s="182" t="s">
        <v>694</v>
      </c>
      <c r="D68" s="61">
        <v>0</v>
      </c>
      <c r="E68" s="61"/>
      <c r="F68" s="61">
        <v>0</v>
      </c>
      <c r="G68" s="61"/>
      <c r="H68" s="61">
        <f aca="true" t="shared" si="7" ref="H68:H77">D68+F68</f>
        <v>0</v>
      </c>
      <c r="I68" s="61"/>
      <c r="J68" s="61">
        <v>3941642</v>
      </c>
      <c r="K68" s="61" t="s">
        <v>49</v>
      </c>
      <c r="L68" s="61">
        <v>701924066</v>
      </c>
      <c r="M68" s="61"/>
      <c r="N68" s="61">
        <f>J68+L68</f>
        <v>705865708</v>
      </c>
      <c r="O68" s="61"/>
      <c r="P68" s="61">
        <f>+N68+H68</f>
        <v>705865708</v>
      </c>
      <c r="T68" s="36"/>
    </row>
    <row r="69" spans="2:20" ht="15.75" customHeight="1">
      <c r="B69" s="182" t="s">
        <v>695</v>
      </c>
      <c r="D69" s="61">
        <v>0</v>
      </c>
      <c r="E69" s="61"/>
      <c r="F69" s="61">
        <v>0</v>
      </c>
      <c r="G69" s="61"/>
      <c r="H69" s="61">
        <f t="shared" si="7"/>
        <v>0</v>
      </c>
      <c r="I69" s="61"/>
      <c r="J69" s="61">
        <v>1099683</v>
      </c>
      <c r="K69" s="61"/>
      <c r="L69" s="61">
        <v>0</v>
      </c>
      <c r="M69" s="61"/>
      <c r="N69" s="61">
        <f aca="true" t="shared" si="8" ref="N69:N77">J69+L69</f>
        <v>1099683</v>
      </c>
      <c r="O69" s="61"/>
      <c r="P69" s="61">
        <f aca="true" t="shared" si="9" ref="P69:P77">+N69+H69</f>
        <v>1099683</v>
      </c>
      <c r="T69" s="36"/>
    </row>
    <row r="70" spans="2:20" ht="15.75" customHeight="1">
      <c r="B70" s="5" t="s">
        <v>756</v>
      </c>
      <c r="D70" s="61">
        <v>0</v>
      </c>
      <c r="E70" s="61"/>
      <c r="F70" s="61">
        <v>0</v>
      </c>
      <c r="G70" s="61"/>
      <c r="H70" s="61">
        <f t="shared" si="7"/>
        <v>0</v>
      </c>
      <c r="I70" s="61"/>
      <c r="J70" s="61">
        <v>104917734</v>
      </c>
      <c r="K70" s="61"/>
      <c r="L70" s="61">
        <v>0</v>
      </c>
      <c r="M70" s="61"/>
      <c r="N70" s="61">
        <f t="shared" si="8"/>
        <v>104917734</v>
      </c>
      <c r="O70" s="61"/>
      <c r="P70" s="61">
        <f t="shared" si="9"/>
        <v>104917734</v>
      </c>
      <c r="T70" s="36"/>
    </row>
    <row r="71" spans="2:20" ht="15.75" customHeight="1">
      <c r="B71" s="182" t="s">
        <v>763</v>
      </c>
      <c r="D71" s="61">
        <v>1208613</v>
      </c>
      <c r="E71" s="61"/>
      <c r="F71" s="61">
        <v>0</v>
      </c>
      <c r="G71" s="61"/>
      <c r="H71" s="61">
        <f t="shared" si="7"/>
        <v>1208613</v>
      </c>
      <c r="I71" s="61"/>
      <c r="J71" s="61">
        <v>0</v>
      </c>
      <c r="K71" s="61"/>
      <c r="L71" s="61">
        <v>0</v>
      </c>
      <c r="M71" s="61"/>
      <c r="N71" s="61">
        <f t="shared" si="8"/>
        <v>0</v>
      </c>
      <c r="O71" s="61"/>
      <c r="P71" s="61">
        <f t="shared" si="9"/>
        <v>1208613</v>
      </c>
      <c r="T71" s="36"/>
    </row>
    <row r="72" spans="2:20" ht="15.75" customHeight="1">
      <c r="B72" s="5" t="s">
        <v>628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T72" s="36"/>
    </row>
    <row r="73" spans="2:20" ht="15.75" customHeight="1">
      <c r="B73" s="5" t="s">
        <v>629</v>
      </c>
      <c r="D73" s="61">
        <v>3455805</v>
      </c>
      <c r="E73" s="61"/>
      <c r="F73" s="61">
        <v>0</v>
      </c>
      <c r="G73" s="61"/>
      <c r="H73" s="61">
        <f t="shared" si="7"/>
        <v>3455805</v>
      </c>
      <c r="I73" s="61"/>
      <c r="J73" s="61">
        <v>0</v>
      </c>
      <c r="K73" s="61"/>
      <c r="L73" s="61">
        <v>0</v>
      </c>
      <c r="M73" s="61"/>
      <c r="N73" s="61">
        <f t="shared" si="8"/>
        <v>0</v>
      </c>
      <c r="O73" s="61"/>
      <c r="P73" s="61">
        <f t="shared" si="9"/>
        <v>3455805</v>
      </c>
      <c r="T73" s="36"/>
    </row>
    <row r="74" spans="2:20" ht="15.75" customHeight="1">
      <c r="B74" s="182" t="s">
        <v>140</v>
      </c>
      <c r="D74" s="61">
        <v>0</v>
      </c>
      <c r="E74" s="61"/>
      <c r="F74" s="61">
        <v>30005462</v>
      </c>
      <c r="G74" s="61"/>
      <c r="H74" s="61">
        <f t="shared" si="7"/>
        <v>30005462</v>
      </c>
      <c r="I74" s="61"/>
      <c r="J74" s="61">
        <v>79687556</v>
      </c>
      <c r="K74" s="61"/>
      <c r="L74" s="61">
        <v>86619251</v>
      </c>
      <c r="M74" s="61"/>
      <c r="N74" s="61">
        <f t="shared" si="8"/>
        <v>166306807</v>
      </c>
      <c r="O74" s="61"/>
      <c r="P74" s="61">
        <f t="shared" si="9"/>
        <v>196312269</v>
      </c>
      <c r="T74" s="36"/>
    </row>
    <row r="75" spans="2:20" ht="15.75" customHeight="1">
      <c r="B75" s="182" t="s">
        <v>657</v>
      </c>
      <c r="D75" s="61">
        <v>51815966</v>
      </c>
      <c r="E75" s="61"/>
      <c r="F75" s="61">
        <v>0</v>
      </c>
      <c r="G75" s="61"/>
      <c r="H75" s="61">
        <f t="shared" si="7"/>
        <v>51815966</v>
      </c>
      <c r="I75" s="61"/>
      <c r="J75" s="61">
        <v>34806120</v>
      </c>
      <c r="K75" s="61"/>
      <c r="L75" s="61">
        <v>0</v>
      </c>
      <c r="M75" s="61"/>
      <c r="N75" s="61">
        <f t="shared" si="8"/>
        <v>34806120</v>
      </c>
      <c r="O75" s="61"/>
      <c r="P75" s="61">
        <f t="shared" si="9"/>
        <v>86622086</v>
      </c>
      <c r="T75" s="36"/>
    </row>
    <row r="76" spans="2:20" ht="15.75" customHeight="1">
      <c r="B76" s="182" t="s">
        <v>200</v>
      </c>
      <c r="D76" s="61">
        <v>8586565</v>
      </c>
      <c r="E76" s="61"/>
      <c r="F76" s="61">
        <v>88067416</v>
      </c>
      <c r="G76" s="61"/>
      <c r="H76" s="61">
        <f t="shared" si="7"/>
        <v>96653981</v>
      </c>
      <c r="I76" s="61"/>
      <c r="J76" s="61">
        <v>0</v>
      </c>
      <c r="K76" s="61"/>
      <c r="L76" s="61">
        <v>0</v>
      </c>
      <c r="M76" s="61"/>
      <c r="N76" s="61">
        <f t="shared" si="8"/>
        <v>0</v>
      </c>
      <c r="O76" s="61"/>
      <c r="P76" s="61">
        <f t="shared" si="9"/>
        <v>96653981</v>
      </c>
      <c r="T76" s="36"/>
    </row>
    <row r="77" spans="2:20" ht="15.75" customHeight="1">
      <c r="B77" s="182" t="s">
        <v>702</v>
      </c>
      <c r="D77" s="61">
        <v>0</v>
      </c>
      <c r="E77" s="61"/>
      <c r="F77" s="61">
        <v>0</v>
      </c>
      <c r="G77" s="61"/>
      <c r="H77" s="61">
        <f t="shared" si="7"/>
        <v>0</v>
      </c>
      <c r="I77" s="61"/>
      <c r="J77" s="61">
        <v>13032737</v>
      </c>
      <c r="K77" s="61"/>
      <c r="L77" s="61">
        <v>5303139</v>
      </c>
      <c r="M77" s="61"/>
      <c r="N77" s="61">
        <f t="shared" si="8"/>
        <v>18335876</v>
      </c>
      <c r="O77" s="61"/>
      <c r="P77" s="61">
        <f t="shared" si="9"/>
        <v>18335876</v>
      </c>
      <c r="T77" s="36"/>
    </row>
    <row r="78" spans="2:20" ht="15.75" customHeight="1">
      <c r="B78" s="182"/>
      <c r="D78" s="447">
        <f>SUM(D68:D77)</f>
        <v>65066949</v>
      </c>
      <c r="E78" s="61"/>
      <c r="F78" s="447">
        <f>SUM(F68:F77)</f>
        <v>118072878</v>
      </c>
      <c r="G78" s="61"/>
      <c r="H78" s="447">
        <f>SUM(H68:H77)</f>
        <v>183139827</v>
      </c>
      <c r="I78" s="61"/>
      <c r="J78" s="447">
        <f>SUM(J68:J77)</f>
        <v>237485472</v>
      </c>
      <c r="K78" s="61"/>
      <c r="L78" s="447">
        <f>SUM(L68:L77)</f>
        <v>793846456</v>
      </c>
      <c r="M78" s="61"/>
      <c r="N78" s="447">
        <f>SUM(N68:N77)</f>
        <v>1031331928</v>
      </c>
      <c r="O78" s="151"/>
      <c r="P78" s="447">
        <f>SUM(P68:P77)</f>
        <v>1214471755</v>
      </c>
      <c r="T78" s="36"/>
    </row>
    <row r="79" spans="2:20" ht="15.75" customHeight="1" thickBot="1">
      <c r="B79" s="185" t="s">
        <v>729</v>
      </c>
      <c r="D79" s="271">
        <f>D66-D78</f>
        <v>972887597</v>
      </c>
      <c r="E79" s="61"/>
      <c r="F79" s="271">
        <f>F66-F78</f>
        <v>-91897146</v>
      </c>
      <c r="G79" s="61"/>
      <c r="H79" s="271">
        <f>H66-H78</f>
        <v>880990451</v>
      </c>
      <c r="I79" s="61"/>
      <c r="J79" s="271">
        <f>J66-J78</f>
        <v>-156212553</v>
      </c>
      <c r="K79" s="61"/>
      <c r="L79" s="271">
        <f>L66-L78</f>
        <v>-695143544</v>
      </c>
      <c r="M79" s="61"/>
      <c r="N79" s="271">
        <f>N66-N78</f>
        <v>-851356097</v>
      </c>
      <c r="O79" s="151"/>
      <c r="P79" s="271">
        <f>P66-P78</f>
        <v>29634354</v>
      </c>
      <c r="T79" s="36"/>
    </row>
    <row r="80" spans="2:20" ht="10.5" customHeight="1" thickTop="1">
      <c r="B80" s="182"/>
      <c r="T80" s="36"/>
    </row>
    <row r="81" spans="2:20" ht="15.75" customHeight="1">
      <c r="B81" s="182" t="s">
        <v>54</v>
      </c>
      <c r="D81" s="35"/>
      <c r="E81" s="71"/>
      <c r="F81" s="35"/>
      <c r="G81" s="71"/>
      <c r="H81" s="35"/>
      <c r="I81" s="71"/>
      <c r="J81" s="35"/>
      <c r="K81" s="71"/>
      <c r="L81" s="35"/>
      <c r="M81" s="71"/>
      <c r="N81" s="35"/>
      <c r="O81" s="71"/>
      <c r="P81" s="35"/>
      <c r="Q81" s="29"/>
      <c r="R81" s="183"/>
      <c r="T81" s="36"/>
    </row>
    <row r="82" spans="2:20" ht="15.75" customHeight="1">
      <c r="B82" s="182"/>
      <c r="D82" s="35"/>
      <c r="E82" s="71"/>
      <c r="F82" s="35"/>
      <c r="G82" s="71"/>
      <c r="H82" s="35"/>
      <c r="I82" s="71"/>
      <c r="J82" s="35"/>
      <c r="K82" s="71"/>
      <c r="L82" s="35"/>
      <c r="M82" s="71"/>
      <c r="N82" s="35"/>
      <c r="O82" s="71"/>
      <c r="P82" s="35"/>
      <c r="Q82" s="29"/>
      <c r="R82" s="183"/>
      <c r="T82" s="36"/>
    </row>
    <row r="83" spans="1:20" ht="15">
      <c r="A83" s="5"/>
      <c r="B83" s="5"/>
      <c r="D83" s="35"/>
      <c r="E83" s="71"/>
      <c r="F83" s="35"/>
      <c r="G83" s="71"/>
      <c r="H83" s="35"/>
      <c r="I83" s="71"/>
      <c r="J83" s="35"/>
      <c r="K83" s="71"/>
      <c r="L83" s="35"/>
      <c r="M83" s="71"/>
      <c r="N83" s="35"/>
      <c r="O83" s="71"/>
      <c r="P83" s="35"/>
      <c r="R83" s="183"/>
      <c r="T83" s="36"/>
    </row>
    <row r="84" spans="1:20" ht="15">
      <c r="A84" s="5"/>
      <c r="B84" s="5"/>
      <c r="D84" s="35"/>
      <c r="E84" s="71"/>
      <c r="F84" s="35"/>
      <c r="G84" s="71"/>
      <c r="H84" s="35"/>
      <c r="I84" s="71"/>
      <c r="J84" s="35"/>
      <c r="K84" s="71"/>
      <c r="L84" s="35"/>
      <c r="M84" s="71"/>
      <c r="N84" s="35"/>
      <c r="O84" s="71"/>
      <c r="P84" s="35"/>
      <c r="R84" s="183"/>
      <c r="T84" s="36"/>
    </row>
    <row r="85" spans="1:20" ht="15">
      <c r="A85" s="5"/>
      <c r="B85" s="5"/>
      <c r="D85" s="35"/>
      <c r="E85" s="71"/>
      <c r="F85" s="35"/>
      <c r="G85" s="71"/>
      <c r="H85" s="35"/>
      <c r="I85" s="71"/>
      <c r="J85" s="35"/>
      <c r="K85" s="71"/>
      <c r="L85" s="35"/>
      <c r="M85" s="71"/>
      <c r="N85" s="35"/>
      <c r="O85" s="71"/>
      <c r="P85" s="35"/>
      <c r="R85" s="183"/>
      <c r="T85" s="36"/>
    </row>
    <row r="86" spans="1:20" ht="15">
      <c r="A86" s="5"/>
      <c r="B86" s="5"/>
      <c r="D86" s="35"/>
      <c r="E86" s="71"/>
      <c r="F86" s="35"/>
      <c r="G86" s="71"/>
      <c r="H86" s="35"/>
      <c r="I86" s="71"/>
      <c r="J86" s="35"/>
      <c r="K86" s="71"/>
      <c r="L86" s="35"/>
      <c r="M86" s="71"/>
      <c r="N86" s="35"/>
      <c r="O86" s="71"/>
      <c r="P86" s="35"/>
      <c r="R86" s="183"/>
      <c r="T86" s="36"/>
    </row>
    <row r="87" spans="1:20" ht="15">
      <c r="A87" s="5"/>
      <c r="B87" s="5"/>
      <c r="D87" s="35"/>
      <c r="E87" s="71"/>
      <c r="F87" s="35"/>
      <c r="G87" s="71"/>
      <c r="H87" s="35"/>
      <c r="I87" s="71"/>
      <c r="J87" s="35"/>
      <c r="K87" s="71"/>
      <c r="L87" s="35"/>
      <c r="M87" s="71"/>
      <c r="N87" s="35"/>
      <c r="O87" s="71"/>
      <c r="P87" s="35"/>
      <c r="R87" s="183"/>
      <c r="T87" s="36"/>
    </row>
    <row r="88" spans="1:20" ht="15">
      <c r="A88" s="5"/>
      <c r="B88" s="5"/>
      <c r="T88" s="36"/>
    </row>
    <row r="89" spans="1:20" ht="15">
      <c r="A89" s="5"/>
      <c r="B89" s="5"/>
      <c r="T89" s="36"/>
    </row>
    <row r="90" spans="1:20" ht="15">
      <c r="A90" s="5"/>
      <c r="B90" s="5"/>
      <c r="T90" s="36"/>
    </row>
    <row r="91" spans="1:1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20" ht="15">
      <c r="B99" s="339" t="s">
        <v>373</v>
      </c>
      <c r="T99" s="36"/>
    </row>
    <row r="100" spans="2:20" ht="15">
      <c r="B100" s="339"/>
      <c r="T100" s="36"/>
    </row>
    <row r="101" spans="2:20" ht="15">
      <c r="B101" s="182" t="s">
        <v>354</v>
      </c>
      <c r="T101" s="36"/>
    </row>
    <row r="102" spans="2:20" ht="15">
      <c r="B102" s="182"/>
      <c r="T102" s="36"/>
    </row>
    <row r="103" ht="13.5" customHeight="1">
      <c r="T103" s="36"/>
    </row>
    <row r="104" ht="15">
      <c r="T104" s="36"/>
    </row>
    <row r="105" ht="29.25" customHeight="1">
      <c r="T105" s="36"/>
    </row>
    <row r="106" ht="15.75" customHeight="1">
      <c r="T106" s="36"/>
    </row>
    <row r="107" ht="15.75" customHeight="1">
      <c r="T107" s="36"/>
    </row>
    <row r="108" ht="15.75" customHeight="1">
      <c r="T108" s="36"/>
    </row>
    <row r="109" ht="57.75" customHeight="1"/>
    <row r="111" ht="26.25" customHeight="1"/>
    <row r="113" ht="28.5" customHeight="1"/>
    <row r="117" ht="44.25" customHeight="1"/>
    <row r="119" ht="25.5" customHeight="1"/>
    <row r="120" spans="3:16" ht="15"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49"/>
      <c r="O120" s="49"/>
      <c r="P120" s="49"/>
    </row>
    <row r="121" spans="3:16" ht="15"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8" ht="15">
      <c r="B128" s="186"/>
    </row>
    <row r="129" ht="15">
      <c r="B129" s="188"/>
    </row>
  </sheetData>
  <mergeCells count="4">
    <mergeCell ref="D4:P4"/>
    <mergeCell ref="D6:H6"/>
    <mergeCell ref="J6:N6"/>
    <mergeCell ref="D45:P45"/>
  </mergeCells>
  <printOptions/>
  <pageMargins left="0.75" right="0.5" top="0.5" bottom="0.25" header="0.5" footer="0.5"/>
  <pageSetup fitToHeight="1" fitToWidth="1" horizontalDpi="600" verticalDpi="600" orientation="portrait" paperSize="9" scale="53" r:id="rId1"/>
  <rowBreaks count="1" manualBreakCount="1">
    <brk id="81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1"/>
  <sheetViews>
    <sheetView tabSelected="1" view="pageBreakPreview" zoomScaleSheetLayoutView="100" workbookViewId="0" topLeftCell="A1">
      <selection activeCell="F145" sqref="F145"/>
    </sheetView>
  </sheetViews>
  <sheetFormatPr defaultColWidth="9.140625" defaultRowHeight="15" customHeight="1"/>
  <cols>
    <col min="1" max="1" width="6.28125" style="5" customWidth="1"/>
    <col min="2" max="2" width="9.140625" style="5" customWidth="1"/>
    <col min="3" max="3" width="11.00390625" style="5" customWidth="1"/>
    <col min="4" max="4" width="11.421875" style="5" customWidth="1"/>
    <col min="5" max="5" width="11.7109375" style="5" customWidth="1"/>
    <col min="6" max="6" width="10.7109375" style="5" customWidth="1"/>
    <col min="7" max="8" width="10.8515625" style="5" customWidth="1"/>
    <col min="9" max="9" width="6.00390625" style="5" customWidth="1"/>
    <col min="10" max="16384" width="9.140625" style="5" customWidth="1"/>
  </cols>
  <sheetData>
    <row r="1" spans="1:2" ht="15" customHeight="1">
      <c r="A1" s="185" t="s">
        <v>173</v>
      </c>
      <c r="B1" s="284" t="s">
        <v>740</v>
      </c>
    </row>
    <row r="2" ht="9.75" customHeight="1"/>
    <row r="3" ht="15" customHeight="1">
      <c r="B3" s="5" t="s">
        <v>398</v>
      </c>
    </row>
    <row r="4" ht="15" customHeight="1">
      <c r="B4" s="5" t="s">
        <v>515</v>
      </c>
    </row>
    <row r="5" ht="15" customHeight="1">
      <c r="B5" s="5" t="s">
        <v>418</v>
      </c>
    </row>
    <row r="6" ht="15" customHeight="1">
      <c r="B6" s="5" t="s">
        <v>419</v>
      </c>
    </row>
    <row r="7" ht="15" customHeight="1">
      <c r="B7" s="5" t="s">
        <v>399</v>
      </c>
    </row>
    <row r="9" spans="1:2" ht="15" customHeight="1">
      <c r="A9" s="185" t="s">
        <v>174</v>
      </c>
      <c r="B9" s="284" t="s">
        <v>340</v>
      </c>
    </row>
    <row r="10" ht="11.25" customHeight="1"/>
    <row r="11" ht="15" customHeight="1">
      <c r="B11" s="5" t="s">
        <v>420</v>
      </c>
    </row>
    <row r="12" ht="15" customHeight="1">
      <c r="B12" s="5" t="s">
        <v>402</v>
      </c>
    </row>
    <row r="13" ht="15" customHeight="1">
      <c r="B13" s="5" t="s">
        <v>403</v>
      </c>
    </row>
    <row r="14" ht="15" customHeight="1">
      <c r="B14" s="5" t="s">
        <v>421</v>
      </c>
    </row>
    <row r="15" ht="15" customHeight="1">
      <c r="B15" s="5" t="s">
        <v>422</v>
      </c>
    </row>
    <row r="17" spans="1:2" ht="15" customHeight="1">
      <c r="A17" s="185" t="s">
        <v>175</v>
      </c>
      <c r="B17" s="284" t="s">
        <v>783</v>
      </c>
    </row>
    <row r="18" ht="9" customHeight="1"/>
    <row r="19" ht="15" customHeight="1">
      <c r="B19" s="5" t="s">
        <v>435</v>
      </c>
    </row>
    <row r="20" ht="15" customHeight="1">
      <c r="B20" s="5" t="s">
        <v>425</v>
      </c>
    </row>
    <row r="21" ht="15" customHeight="1">
      <c r="B21" s="5" t="s">
        <v>423</v>
      </c>
    </row>
    <row r="22" ht="15" customHeight="1">
      <c r="B22" s="5" t="s">
        <v>424</v>
      </c>
    </row>
    <row r="23" ht="15" customHeight="1">
      <c r="B23" s="5" t="s">
        <v>426</v>
      </c>
    </row>
    <row r="24" ht="15" customHeight="1">
      <c r="B24" s="5" t="s">
        <v>436</v>
      </c>
    </row>
    <row r="25" ht="15" customHeight="1">
      <c r="B25" s="5" t="s">
        <v>427</v>
      </c>
    </row>
    <row r="26" ht="15" customHeight="1">
      <c r="B26" s="5" t="s">
        <v>428</v>
      </c>
    </row>
    <row r="27" ht="15" customHeight="1">
      <c r="B27" s="5" t="s">
        <v>429</v>
      </c>
    </row>
    <row r="28" ht="15" customHeight="1">
      <c r="B28" s="5" t="s">
        <v>430</v>
      </c>
    </row>
    <row r="29" ht="15" customHeight="1">
      <c r="B29" s="5" t="s">
        <v>431</v>
      </c>
    </row>
    <row r="31" spans="1:2" ht="15" customHeight="1">
      <c r="A31" s="185" t="s">
        <v>176</v>
      </c>
      <c r="B31" s="284" t="s">
        <v>784</v>
      </c>
    </row>
    <row r="32" ht="9" customHeight="1"/>
    <row r="33" ht="15" customHeight="1">
      <c r="B33" s="5" t="s">
        <v>404</v>
      </c>
    </row>
    <row r="34" ht="15" customHeight="1">
      <c r="B34" s="5" t="s">
        <v>437</v>
      </c>
    </row>
    <row r="35" ht="15" customHeight="1">
      <c r="B35" s="5" t="s">
        <v>438</v>
      </c>
    </row>
    <row r="36" ht="15" customHeight="1">
      <c r="B36" s="5" t="s">
        <v>439</v>
      </c>
    </row>
    <row r="37" ht="15" customHeight="1">
      <c r="B37" s="5" t="s">
        <v>440</v>
      </c>
    </row>
    <row r="38" ht="15" customHeight="1">
      <c r="B38" s="5" t="s">
        <v>441</v>
      </c>
    </row>
    <row r="39" ht="15" customHeight="1">
      <c r="B39" s="5" t="s">
        <v>442</v>
      </c>
    </row>
    <row r="41" ht="15" customHeight="1">
      <c r="B41" s="5" t="s">
        <v>443</v>
      </c>
    </row>
    <row r="42" ht="15" customHeight="1">
      <c r="B42" s="5" t="s">
        <v>444</v>
      </c>
    </row>
    <row r="43" ht="15" customHeight="1">
      <c r="B43" s="5" t="s">
        <v>445</v>
      </c>
    </row>
    <row r="44" ht="15" customHeight="1">
      <c r="B44" s="5" t="s">
        <v>446</v>
      </c>
    </row>
    <row r="46" ht="15" customHeight="1">
      <c r="B46" s="5" t="s">
        <v>457</v>
      </c>
    </row>
    <row r="47" ht="15" customHeight="1">
      <c r="B47" s="5" t="s">
        <v>458</v>
      </c>
    </row>
    <row r="48" spans="1:18" s="66" customFormat="1" ht="15" customHeight="1">
      <c r="A48" s="285" t="s">
        <v>177</v>
      </c>
      <c r="B48" s="286" t="s">
        <v>820</v>
      </c>
      <c r="C48" s="170"/>
      <c r="D48" s="170"/>
      <c r="E48" s="170"/>
      <c r="F48" s="170"/>
      <c r="G48" s="170"/>
      <c r="H48" s="170"/>
      <c r="I48" s="170"/>
      <c r="J48" s="170"/>
      <c r="K48" s="170"/>
      <c r="R48" s="287"/>
    </row>
    <row r="49" spans="1:18" ht="10.5" customHeight="1">
      <c r="A49" s="185"/>
      <c r="B49" s="288"/>
      <c r="C49" s="187"/>
      <c r="D49" s="187"/>
      <c r="E49" s="187"/>
      <c r="F49" s="187"/>
      <c r="G49" s="187"/>
      <c r="H49" s="187"/>
      <c r="I49" s="187"/>
      <c r="J49" s="187"/>
      <c r="K49" s="187"/>
      <c r="L49" s="49"/>
      <c r="M49" s="49"/>
      <c r="N49" s="49"/>
      <c r="R49" s="7"/>
    </row>
    <row r="50" spans="1:18" ht="15" customHeight="1">
      <c r="A50" s="185"/>
      <c r="B50" s="289" t="s">
        <v>459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R50" s="7"/>
    </row>
    <row r="51" spans="1:18" ht="15" customHeight="1">
      <c r="A51" s="185"/>
      <c r="B51" s="289" t="s">
        <v>460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R51" s="7"/>
    </row>
    <row r="52" spans="1:18" ht="15" customHeight="1">
      <c r="A52" s="185"/>
      <c r="B52" s="289" t="s">
        <v>432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R52" s="7"/>
    </row>
    <row r="53" spans="1:18" ht="15" customHeight="1">
      <c r="A53" s="185"/>
      <c r="B53" s="289" t="s">
        <v>433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R53" s="7"/>
    </row>
    <row r="54" spans="1:18" ht="15" customHeight="1">
      <c r="A54" s="185"/>
      <c r="B54" s="289" t="s">
        <v>434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R54" s="7"/>
    </row>
    <row r="55" spans="1:18" ht="10.5" customHeight="1">
      <c r="A55" s="185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R55" s="7"/>
    </row>
    <row r="56" spans="1:18" ht="15" customHeight="1">
      <c r="A56" s="185"/>
      <c r="B56" s="289" t="s">
        <v>461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R56" s="7"/>
    </row>
    <row r="57" spans="1:18" ht="15" customHeight="1">
      <c r="A57" s="290"/>
      <c r="B57" s="5" t="s">
        <v>463</v>
      </c>
      <c r="D57" s="7"/>
      <c r="F57" s="7"/>
      <c r="H57" s="7"/>
      <c r="R57" s="7"/>
    </row>
    <row r="58" spans="1:18" ht="15" customHeight="1">
      <c r="A58" s="290"/>
      <c r="B58" s="5" t="s">
        <v>397</v>
      </c>
      <c r="D58" s="7"/>
      <c r="F58" s="7"/>
      <c r="H58" s="7"/>
      <c r="R58" s="7"/>
    </row>
    <row r="59" spans="1:18" ht="10.5" customHeight="1">
      <c r="A59" s="290"/>
      <c r="D59" s="7"/>
      <c r="F59" s="7"/>
      <c r="H59" s="7"/>
      <c r="R59" s="7"/>
    </row>
    <row r="60" spans="1:2" ht="15" customHeight="1">
      <c r="A60" s="285" t="s">
        <v>178</v>
      </c>
      <c r="B60" s="6" t="s">
        <v>142</v>
      </c>
    </row>
    <row r="61" ht="10.5" customHeight="1"/>
    <row r="62" ht="15" customHeight="1">
      <c r="B62" s="5" t="s">
        <v>395</v>
      </c>
    </row>
    <row r="63" ht="15" customHeight="1">
      <c r="B63" s="5" t="s">
        <v>396</v>
      </c>
    </row>
    <row r="64" ht="15" customHeight="1">
      <c r="B64" s="5" t="s">
        <v>464</v>
      </c>
    </row>
    <row r="65" ht="15" customHeight="1">
      <c r="B65" s="5" t="s">
        <v>945</v>
      </c>
    </row>
    <row r="66" ht="15" customHeight="1">
      <c r="B66" s="5" t="s">
        <v>946</v>
      </c>
    </row>
    <row r="67" ht="15" customHeight="1">
      <c r="B67" s="5" t="s">
        <v>947</v>
      </c>
    </row>
    <row r="68" ht="15" customHeight="1">
      <c r="B68" s="5" t="s">
        <v>948</v>
      </c>
    </row>
    <row r="69" ht="15" customHeight="1">
      <c r="B69" s="5" t="s">
        <v>949</v>
      </c>
    </row>
    <row r="70" ht="15" customHeight="1">
      <c r="B70" s="5" t="s">
        <v>950</v>
      </c>
    </row>
    <row r="71" ht="15" customHeight="1">
      <c r="B71" s="5" t="s">
        <v>951</v>
      </c>
    </row>
    <row r="72" ht="15" customHeight="1">
      <c r="B72" s="5" t="s">
        <v>952</v>
      </c>
    </row>
    <row r="73" ht="15" customHeight="1">
      <c r="B73" s="5" t="s">
        <v>953</v>
      </c>
    </row>
    <row r="74" ht="15" customHeight="1">
      <c r="B74" s="5" t="s">
        <v>954</v>
      </c>
    </row>
    <row r="75" ht="15" customHeight="1">
      <c r="B75" s="5" t="s">
        <v>955</v>
      </c>
    </row>
    <row r="76" ht="15" customHeight="1">
      <c r="B76" s="5" t="s">
        <v>16</v>
      </c>
    </row>
    <row r="77" ht="15" customHeight="1">
      <c r="B77" s="5" t="s">
        <v>17</v>
      </c>
    </row>
    <row r="78" ht="15" customHeight="1">
      <c r="B78" s="5" t="s">
        <v>18</v>
      </c>
    </row>
    <row r="79" ht="10.5" customHeight="1"/>
    <row r="80" spans="1:2" ht="15" customHeight="1">
      <c r="A80" s="285" t="s">
        <v>462</v>
      </c>
      <c r="B80" s="380" t="s">
        <v>523</v>
      </c>
    </row>
    <row r="81" ht="10.5" customHeight="1"/>
    <row r="82" spans="2:3" ht="15" customHeight="1">
      <c r="B82" s="380" t="s">
        <v>524</v>
      </c>
      <c r="C82" s="371"/>
    </row>
    <row r="83" ht="10.5" customHeight="1"/>
    <row r="84" ht="15" customHeight="1">
      <c r="B84" s="371" t="s">
        <v>405</v>
      </c>
    </row>
    <row r="85" ht="15" customHeight="1">
      <c r="B85" s="371" t="s">
        <v>406</v>
      </c>
    </row>
    <row r="86" ht="15" customHeight="1">
      <c r="B86" s="371" t="s">
        <v>407</v>
      </c>
    </row>
    <row r="87" ht="15" customHeight="1">
      <c r="B87" s="371" t="s">
        <v>965</v>
      </c>
    </row>
    <row r="88" ht="15" customHeight="1">
      <c r="B88" s="371" t="s">
        <v>410</v>
      </c>
    </row>
    <row r="89" ht="10.5" customHeight="1"/>
    <row r="90" ht="15" customHeight="1">
      <c r="B90" s="380" t="s">
        <v>525</v>
      </c>
    </row>
    <row r="91" ht="10.5" customHeight="1"/>
    <row r="92" ht="15" customHeight="1">
      <c r="B92" s="371" t="s">
        <v>526</v>
      </c>
    </row>
    <row r="93" ht="15" customHeight="1">
      <c r="B93" s="371" t="s">
        <v>956</v>
      </c>
    </row>
    <row r="94" ht="15" customHeight="1">
      <c r="B94" s="371" t="s">
        <v>957</v>
      </c>
    </row>
    <row r="95" ht="15" customHeight="1">
      <c r="B95" s="371" t="s">
        <v>958</v>
      </c>
    </row>
    <row r="96" ht="15" customHeight="1">
      <c r="B96" s="371" t="s">
        <v>959</v>
      </c>
    </row>
    <row r="97" ht="15" customHeight="1">
      <c r="B97" s="5" t="s">
        <v>411</v>
      </c>
    </row>
    <row r="98" ht="15" customHeight="1">
      <c r="B98" s="380" t="s">
        <v>527</v>
      </c>
    </row>
    <row r="99" ht="9" customHeight="1"/>
    <row r="100" ht="15" customHeight="1">
      <c r="B100" s="371" t="s">
        <v>960</v>
      </c>
    </row>
    <row r="101" ht="15" customHeight="1">
      <c r="B101" s="371" t="s">
        <v>961</v>
      </c>
    </row>
    <row r="102" ht="15" customHeight="1">
      <c r="B102" s="371" t="s">
        <v>962</v>
      </c>
    </row>
    <row r="103" ht="9.75" customHeight="1"/>
    <row r="104" ht="15" customHeight="1">
      <c r="B104" s="380" t="s">
        <v>528</v>
      </c>
    </row>
    <row r="105" ht="9" customHeight="1"/>
    <row r="106" ht="15" customHeight="1">
      <c r="B106" s="371" t="s">
        <v>963</v>
      </c>
    </row>
    <row r="107" ht="15" customHeight="1">
      <c r="B107" s="371" t="s">
        <v>179</v>
      </c>
    </row>
    <row r="108" ht="9.75" customHeight="1">
      <c r="B108" s="371"/>
    </row>
    <row r="109" ht="15" customHeight="1">
      <c r="B109" s="380" t="s">
        <v>529</v>
      </c>
    </row>
    <row r="110" ht="11.25" customHeight="1">
      <c r="B110" s="371"/>
    </row>
    <row r="111" ht="15" customHeight="1">
      <c r="B111" s="371" t="s">
        <v>412</v>
      </c>
    </row>
    <row r="112" ht="15" customHeight="1">
      <c r="B112" s="371" t="s">
        <v>413</v>
      </c>
    </row>
    <row r="113" ht="9.75" customHeight="1">
      <c r="B113" s="371"/>
    </row>
    <row r="114" spans="1:2" ht="15" customHeight="1">
      <c r="A114" s="67" t="s">
        <v>314</v>
      </c>
      <c r="B114" s="380" t="s">
        <v>886</v>
      </c>
    </row>
    <row r="115" ht="12" customHeight="1">
      <c r="B115" s="371"/>
    </row>
    <row r="116" ht="15" customHeight="1">
      <c r="B116" s="371" t="s">
        <v>228</v>
      </c>
    </row>
    <row r="117" ht="15" customHeight="1">
      <c r="B117" s="371" t="s">
        <v>966</v>
      </c>
    </row>
    <row r="118" ht="15" customHeight="1">
      <c r="B118" s="371" t="s">
        <v>964</v>
      </c>
    </row>
    <row r="119" ht="12" customHeight="1">
      <c r="B119" s="371"/>
    </row>
    <row r="120" spans="1:2" ht="15" customHeight="1">
      <c r="A120" s="67" t="s">
        <v>315</v>
      </c>
      <c r="B120" s="380" t="s">
        <v>230</v>
      </c>
    </row>
    <row r="121" ht="15" customHeight="1">
      <c r="B121" s="371"/>
    </row>
    <row r="122" ht="15" customHeight="1">
      <c r="B122" s="371" t="s">
        <v>231</v>
      </c>
    </row>
    <row r="123" ht="15" customHeight="1">
      <c r="B123" s="371"/>
    </row>
    <row r="124" spans="2:8" ht="15" customHeight="1">
      <c r="B124" s="468" t="s">
        <v>232</v>
      </c>
      <c r="D124" s="353" t="s">
        <v>233</v>
      </c>
      <c r="F124" s="353" t="s">
        <v>414</v>
      </c>
      <c r="H124" s="353" t="s">
        <v>416</v>
      </c>
    </row>
    <row r="125" spans="2:8" ht="15" customHeight="1">
      <c r="B125" s="371"/>
      <c r="C125" s="466"/>
      <c r="D125" s="466"/>
      <c r="F125" s="353" t="s">
        <v>415</v>
      </c>
      <c r="H125" s="353" t="s">
        <v>417</v>
      </c>
    </row>
    <row r="126" spans="2:6" ht="15" customHeight="1">
      <c r="B126" s="371"/>
      <c r="C126" s="356"/>
      <c r="D126" s="356"/>
      <c r="F126" s="356"/>
    </row>
    <row r="127" spans="2:8" ht="15" customHeight="1">
      <c r="B127" s="357" t="s">
        <v>323</v>
      </c>
      <c r="D127" s="357" t="s">
        <v>657</v>
      </c>
      <c r="F127" s="357" t="s">
        <v>234</v>
      </c>
      <c r="H127" s="467">
        <v>4507185</v>
      </c>
    </row>
    <row r="128" spans="2:6" ht="15" customHeight="1">
      <c r="B128" s="371"/>
      <c r="C128" s="360"/>
      <c r="D128" s="360"/>
      <c r="E128" s="360"/>
      <c r="F128" s="360"/>
    </row>
    <row r="129" spans="1:2" ht="15" customHeight="1">
      <c r="A129" s="291" t="s">
        <v>229</v>
      </c>
      <c r="B129" s="6" t="s">
        <v>239</v>
      </c>
    </row>
    <row r="130" ht="15" customHeight="1">
      <c r="A130" s="290"/>
    </row>
    <row r="131" spans="1:2" ht="15" customHeight="1">
      <c r="A131" s="290"/>
      <c r="B131" s="66" t="s">
        <v>725</v>
      </c>
    </row>
    <row r="132" spans="1:2" ht="15" customHeight="1">
      <c r="A132" s="290"/>
      <c r="B132" s="5" t="s">
        <v>522</v>
      </c>
    </row>
    <row r="134" spans="1:2" ht="15" customHeight="1">
      <c r="A134" s="291" t="s">
        <v>180</v>
      </c>
      <c r="B134" s="6" t="s">
        <v>238</v>
      </c>
    </row>
    <row r="135" ht="15" customHeight="1">
      <c r="A135" s="292"/>
    </row>
    <row r="136" spans="1:2" ht="15" customHeight="1">
      <c r="A136" s="291"/>
      <c r="B136" s="5" t="s">
        <v>475</v>
      </c>
    </row>
    <row r="139" spans="2:8" ht="15" customHeight="1">
      <c r="B139" s="140" t="s">
        <v>148</v>
      </c>
      <c r="E139" s="140" t="s">
        <v>554</v>
      </c>
      <c r="H139" s="35" t="s">
        <v>94</v>
      </c>
    </row>
    <row r="140" spans="2:8" ht="15" customHeight="1">
      <c r="B140" s="15" t="s">
        <v>245</v>
      </c>
      <c r="E140" s="15" t="s">
        <v>775</v>
      </c>
      <c r="H140" s="32" t="s">
        <v>717</v>
      </c>
    </row>
    <row r="141" spans="2:8" ht="15" customHeight="1">
      <c r="B141" s="15" t="s">
        <v>93</v>
      </c>
      <c r="E141" s="15" t="s">
        <v>716</v>
      </c>
      <c r="H141" s="32" t="s">
        <v>718</v>
      </c>
    </row>
  </sheetData>
  <printOptions/>
  <pageMargins left="0.75" right="0.5" top="1" bottom="1" header="0.5" footer="0.5"/>
  <pageSetup fitToHeight="3" horizontalDpi="600" verticalDpi="600" orientation="portrait" paperSize="9" r:id="rId1"/>
  <rowBreaks count="2" manualBreakCount="2">
    <brk id="47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73"/>
  <sheetViews>
    <sheetView zoomScaleSheetLayoutView="100" workbookViewId="0" topLeftCell="A34">
      <selection activeCell="D62" sqref="D62"/>
    </sheetView>
  </sheetViews>
  <sheetFormatPr defaultColWidth="9.140625" defaultRowHeight="12.75"/>
  <cols>
    <col min="1" max="1" width="3.140625" style="5" customWidth="1"/>
    <col min="2" max="3" width="10.28125" style="5" customWidth="1"/>
    <col min="4" max="4" width="14.8515625" style="5" customWidth="1"/>
    <col min="5" max="5" width="10.28125" style="5" customWidth="1"/>
    <col min="6" max="6" width="17.140625" style="5" customWidth="1"/>
    <col min="7" max="7" width="10.8515625" style="5" customWidth="1"/>
    <col min="8" max="8" width="1.7109375" style="5" customWidth="1"/>
    <col min="9" max="9" width="14.00390625" style="29" customWidth="1"/>
    <col min="10" max="10" width="2.8515625" style="29" customWidth="1"/>
    <col min="11" max="11" width="14.00390625" style="29" customWidth="1"/>
    <col min="12" max="12" width="1.28515625" style="5" customWidth="1"/>
    <col min="13" max="13" width="14.7109375" style="8" hidden="1" customWidth="1"/>
    <col min="14" max="14" width="17.7109375" style="10" bestFit="1" customWidth="1"/>
    <col min="15" max="15" width="15.00390625" style="4" bestFit="1" customWidth="1"/>
    <col min="16" max="16" width="20.140625" style="10" customWidth="1"/>
    <col min="17" max="17" width="16.8515625" style="10" customWidth="1"/>
    <col min="18" max="18" width="12.140625" style="10" customWidth="1"/>
    <col min="19" max="22" width="7.57421875" style="10" customWidth="1"/>
    <col min="23" max="16384" width="7.57421875" style="5" customWidth="1"/>
  </cols>
  <sheetData>
    <row r="1" spans="1:13" ht="18.75">
      <c r="A1" s="167" t="s">
        <v>823</v>
      </c>
      <c r="B1" s="167"/>
      <c r="C1" s="167"/>
      <c r="D1" s="167"/>
      <c r="E1" s="167"/>
      <c r="F1" s="167"/>
      <c r="H1" s="9"/>
      <c r="I1" s="28"/>
      <c r="K1" s="28"/>
      <c r="M1" s="176"/>
    </row>
    <row r="2" spans="1:13" ht="18.75">
      <c r="A2" s="167" t="s">
        <v>824</v>
      </c>
      <c r="B2" s="167"/>
      <c r="C2" s="167"/>
      <c r="D2" s="167"/>
      <c r="E2" s="167"/>
      <c r="F2" s="167"/>
      <c r="H2" s="9"/>
      <c r="I2" s="28"/>
      <c r="K2" s="28"/>
      <c r="M2" s="176"/>
    </row>
    <row r="3" spans="1:11" ht="15">
      <c r="A3" s="11" t="s">
        <v>588</v>
      </c>
      <c r="H3" s="9"/>
      <c r="I3" s="28"/>
      <c r="K3" s="28"/>
    </row>
    <row r="4" spans="7:15" ht="15">
      <c r="G4" s="12" t="s">
        <v>676</v>
      </c>
      <c r="I4" s="30" t="s">
        <v>586</v>
      </c>
      <c r="J4" s="31"/>
      <c r="K4" s="54" t="s">
        <v>33</v>
      </c>
      <c r="O4" s="338"/>
    </row>
    <row r="5" spans="7:15" ht="15">
      <c r="G5" s="11"/>
      <c r="H5" s="9"/>
      <c r="I5" s="491" t="s">
        <v>832</v>
      </c>
      <c r="J5" s="491"/>
      <c r="K5" s="491"/>
      <c r="O5" s="10"/>
    </row>
    <row r="6" spans="1:11" ht="15">
      <c r="A6" s="6" t="s">
        <v>677</v>
      </c>
      <c r="G6" s="11"/>
      <c r="H6" s="9"/>
      <c r="I6" s="55"/>
      <c r="J6" s="32"/>
      <c r="K6" s="55"/>
    </row>
    <row r="7" spans="7:11" ht="9.75" customHeight="1">
      <c r="G7" s="11"/>
      <c r="H7" s="9"/>
      <c r="I7" s="69"/>
      <c r="J7" s="47"/>
      <c r="K7" s="47"/>
    </row>
    <row r="8" spans="1:14" ht="15">
      <c r="A8" s="5" t="s">
        <v>975</v>
      </c>
      <c r="G8" s="12">
        <v>10</v>
      </c>
      <c r="H8" s="34"/>
      <c r="I8" s="56">
        <f>'NOTE 7 - 12.1'!K37</f>
        <v>139340</v>
      </c>
      <c r="J8" s="35"/>
      <c r="K8" s="35">
        <f>'NOTE 7 - 12.1'!O37</f>
        <v>145618</v>
      </c>
      <c r="M8" s="4"/>
      <c r="N8" s="214"/>
    </row>
    <row r="9" spans="1:14" ht="15">
      <c r="A9" s="5" t="s">
        <v>323</v>
      </c>
      <c r="G9" s="12">
        <v>6</v>
      </c>
      <c r="H9" s="34"/>
      <c r="I9" s="56">
        <f>'NOTE 5 - 6.5'!L20</f>
        <v>134568947.72729</v>
      </c>
      <c r="J9" s="35"/>
      <c r="K9" s="35">
        <f>'NOTE 5 - 6.5'!N20</f>
        <v>144020471</v>
      </c>
      <c r="M9" s="4"/>
      <c r="N9" s="214"/>
    </row>
    <row r="10" spans="1:14" ht="15">
      <c r="A10" s="5" t="s">
        <v>92</v>
      </c>
      <c r="G10" s="12">
        <v>8</v>
      </c>
      <c r="H10" s="34"/>
      <c r="I10" s="56">
        <v>0</v>
      </c>
      <c r="J10" s="35"/>
      <c r="K10" s="35">
        <v>11937000</v>
      </c>
      <c r="M10" s="4"/>
      <c r="N10" s="214"/>
    </row>
    <row r="11" spans="1:14" ht="15">
      <c r="A11" s="5" t="s">
        <v>375</v>
      </c>
      <c r="G11" s="12">
        <v>7</v>
      </c>
      <c r="H11" s="34"/>
      <c r="I11" s="57">
        <f>'NOTE 7 - 12.1'!K15</f>
        <v>1088559</v>
      </c>
      <c r="J11" s="35"/>
      <c r="K11" s="230">
        <f>'NOTE 7 - 12.1'!O15</f>
        <v>1774629</v>
      </c>
      <c r="M11" s="4"/>
      <c r="N11" s="214"/>
    </row>
    <row r="12" spans="7:13" ht="15">
      <c r="G12" s="12"/>
      <c r="H12" s="34"/>
      <c r="I12" s="56">
        <f>SUM(I8:I11)</f>
        <v>135796846.72729</v>
      </c>
      <c r="J12" s="35"/>
      <c r="K12" s="35">
        <f>SUM(K8:K11)</f>
        <v>157877718</v>
      </c>
      <c r="M12" s="4"/>
    </row>
    <row r="13" spans="1:13" ht="15">
      <c r="A13" s="5" t="s">
        <v>644</v>
      </c>
      <c r="G13" s="12"/>
      <c r="H13" s="34"/>
      <c r="I13" s="56"/>
      <c r="J13" s="35"/>
      <c r="K13" s="35"/>
      <c r="M13" s="4"/>
    </row>
    <row r="14" spans="1:14" ht="15">
      <c r="A14" s="5" t="s">
        <v>643</v>
      </c>
      <c r="G14" s="12">
        <v>16</v>
      </c>
      <c r="H14" s="34"/>
      <c r="I14" s="56">
        <f>'NOTE 13 - 17'!I38</f>
        <v>10524.794459998608</v>
      </c>
      <c r="J14" s="35"/>
      <c r="K14" s="35">
        <f>'NOTE 13 - 17'!K38</f>
        <v>10315</v>
      </c>
      <c r="M14" s="4"/>
      <c r="N14" s="214"/>
    </row>
    <row r="15" spans="1:14" ht="15">
      <c r="A15" s="5" t="s">
        <v>67</v>
      </c>
      <c r="G15" s="12">
        <v>11</v>
      </c>
      <c r="H15" s="34"/>
      <c r="I15" s="56">
        <v>0</v>
      </c>
      <c r="J15" s="35"/>
      <c r="K15" s="35">
        <v>9115545</v>
      </c>
      <c r="M15" s="4"/>
      <c r="N15" s="214"/>
    </row>
    <row r="16" spans="1:14" ht="15">
      <c r="A16" s="5" t="s">
        <v>144</v>
      </c>
      <c r="G16" s="12">
        <v>22.5</v>
      </c>
      <c r="H16" s="34"/>
      <c r="I16" s="56">
        <f>'Note 21 - 25.1'!H78</f>
        <v>8904268</v>
      </c>
      <c r="J16" s="35"/>
      <c r="K16" s="35">
        <f>'Note 21 - 25.1'!J78</f>
        <v>2114045</v>
      </c>
      <c r="M16" s="4"/>
      <c r="N16" s="214"/>
    </row>
    <row r="17" spans="1:14" ht="15">
      <c r="A17" s="5" t="s">
        <v>123</v>
      </c>
      <c r="G17" s="12"/>
      <c r="H17" s="34"/>
      <c r="I17" s="56"/>
      <c r="J17" s="35"/>
      <c r="K17" s="35"/>
      <c r="M17" s="4"/>
      <c r="N17" s="214"/>
    </row>
    <row r="18" spans="1:14" ht="15">
      <c r="A18" s="5" t="s">
        <v>124</v>
      </c>
      <c r="F18" s="7"/>
      <c r="G18" s="12"/>
      <c r="H18" s="34"/>
      <c r="I18" s="148">
        <f>6471-4391</f>
        <v>2080</v>
      </c>
      <c r="J18" s="35"/>
      <c r="K18" s="35">
        <v>1521</v>
      </c>
      <c r="M18" s="4"/>
      <c r="N18" s="214"/>
    </row>
    <row r="19" spans="1:14" ht="15">
      <c r="A19" s="5" t="s">
        <v>678</v>
      </c>
      <c r="G19" s="12">
        <v>12</v>
      </c>
      <c r="H19" s="34"/>
      <c r="I19" s="56">
        <f>'NOTE 7 - 12.1'!K88</f>
        <v>408364216.5239301</v>
      </c>
      <c r="J19" s="35"/>
      <c r="K19" s="35">
        <f>'NOTE 7 - 12.1'!O88</f>
        <v>199368400</v>
      </c>
      <c r="M19" s="4"/>
      <c r="N19" s="214"/>
    </row>
    <row r="20" spans="1:14" ht="15">
      <c r="A20" s="5" t="s">
        <v>679</v>
      </c>
      <c r="G20" s="12">
        <v>17</v>
      </c>
      <c r="H20" s="34"/>
      <c r="I20" s="56">
        <f>'NOTE 13 - 17'!I51</f>
        <v>227177573.54081</v>
      </c>
      <c r="J20" s="35"/>
      <c r="K20" s="35">
        <f>'NOTE 13 - 17'!K51</f>
        <v>219092298</v>
      </c>
      <c r="M20" s="4"/>
      <c r="N20" s="214"/>
    </row>
    <row r="21" spans="1:14" ht="15">
      <c r="A21" s="5" t="s">
        <v>139</v>
      </c>
      <c r="G21" s="12"/>
      <c r="H21" s="34"/>
      <c r="I21" s="56"/>
      <c r="J21" s="35"/>
      <c r="K21" s="35"/>
      <c r="M21" s="4"/>
      <c r="N21" s="214"/>
    </row>
    <row r="22" spans="1:14" ht="15">
      <c r="A22" s="5" t="s">
        <v>326</v>
      </c>
      <c r="F22" s="36"/>
      <c r="G22" s="12">
        <v>18</v>
      </c>
      <c r="H22" s="34"/>
      <c r="I22" s="56">
        <f>'NOTE 18 - 19.1'!Q13</f>
        <v>4374048.318849999</v>
      </c>
      <c r="J22" s="35"/>
      <c r="K22" s="35">
        <f>'NOTE 18 - 19.1'!S13</f>
        <v>4082161</v>
      </c>
      <c r="M22" s="4"/>
      <c r="N22" s="214"/>
    </row>
    <row r="23" spans="1:14" ht="15">
      <c r="A23" s="5" t="s">
        <v>151</v>
      </c>
      <c r="G23" s="12">
        <v>19</v>
      </c>
      <c r="H23" s="34"/>
      <c r="I23" s="56">
        <f>'NOTE 18 - 19.1'!Q22</f>
        <v>19367852</v>
      </c>
      <c r="J23" s="35"/>
      <c r="K23" s="33">
        <v>6943113</v>
      </c>
      <c r="M23" s="4"/>
      <c r="N23" s="214"/>
    </row>
    <row r="24" spans="1:14" ht="15">
      <c r="A24" s="5" t="s">
        <v>683</v>
      </c>
      <c r="G24" s="12">
        <v>20</v>
      </c>
      <c r="H24" s="34"/>
      <c r="I24" s="56">
        <f>'NOTE 17.3 - 20'!L35</f>
        <v>115681</v>
      </c>
      <c r="J24" s="35"/>
      <c r="K24" s="33">
        <v>20871</v>
      </c>
      <c r="M24" s="4"/>
      <c r="N24" s="214"/>
    </row>
    <row r="25" spans="1:14" ht="15">
      <c r="A25" s="5" t="s">
        <v>684</v>
      </c>
      <c r="F25" s="36"/>
      <c r="G25" s="12">
        <v>21</v>
      </c>
      <c r="H25" s="34"/>
      <c r="I25" s="56">
        <f>'Note 21 - 25.1'!H12</f>
        <v>12517090.49731</v>
      </c>
      <c r="J25" s="35"/>
      <c r="K25" s="35">
        <f>'Note 21 - 25.1'!J12</f>
        <v>7799971</v>
      </c>
      <c r="M25" s="4"/>
      <c r="N25" s="214"/>
    </row>
    <row r="26" spans="1:13" ht="15">
      <c r="A26" s="5" t="s">
        <v>96</v>
      </c>
      <c r="G26" s="12"/>
      <c r="H26" s="34"/>
      <c r="I26" s="239">
        <f>I25+I23+I22+I20+I16+I19+I14+I12+I15+I18+I24+1</f>
        <v>816630182.40265</v>
      </c>
      <c r="J26" s="35"/>
      <c r="K26" s="240">
        <f>K25+K23+K22+K20+K16+K19+K14+K12+K15+K18+K24</f>
        <v>606425958</v>
      </c>
      <c r="M26" s="4"/>
    </row>
    <row r="27" spans="7:13" ht="11.25" customHeight="1">
      <c r="G27" s="12"/>
      <c r="H27" s="34"/>
      <c r="I27" s="55"/>
      <c r="J27" s="33"/>
      <c r="K27" s="33"/>
      <c r="M27" s="4"/>
    </row>
    <row r="28" spans="1:13" ht="15">
      <c r="A28" s="6" t="s">
        <v>483</v>
      </c>
      <c r="F28" s="4"/>
      <c r="G28" s="12"/>
      <c r="H28" s="34"/>
      <c r="I28" s="56"/>
      <c r="J28" s="35"/>
      <c r="K28" s="35"/>
      <c r="M28" s="4"/>
    </row>
    <row r="29" spans="7:13" ht="9.75" customHeight="1">
      <c r="G29" s="12"/>
      <c r="H29" s="34"/>
      <c r="I29" s="56"/>
      <c r="J29" s="35"/>
      <c r="K29" s="35"/>
      <c r="M29" s="4"/>
    </row>
    <row r="30" spans="1:13" ht="15">
      <c r="A30" s="5" t="s">
        <v>695</v>
      </c>
      <c r="G30" s="12"/>
      <c r="H30" s="34"/>
      <c r="I30" s="227">
        <f>472730+2.63</f>
        <v>472732.63</v>
      </c>
      <c r="J30" s="35"/>
      <c r="K30" s="228">
        <v>1099683</v>
      </c>
      <c r="L30" s="10"/>
      <c r="M30" s="4"/>
    </row>
    <row r="31" spans="1:13" ht="15">
      <c r="A31" s="5" t="s">
        <v>781</v>
      </c>
      <c r="G31" s="12">
        <v>22</v>
      </c>
      <c r="H31" s="34"/>
      <c r="I31" s="241">
        <f>'Note 21 - 25.1'!H30</f>
        <v>147097122</v>
      </c>
      <c r="J31" s="35"/>
      <c r="K31" s="242">
        <f>'Note 21 - 25.1'!J30</f>
        <v>104917734</v>
      </c>
      <c r="L31" s="10"/>
      <c r="M31" s="4"/>
    </row>
    <row r="32" spans="1:14" ht="15">
      <c r="A32" s="5" t="s">
        <v>489</v>
      </c>
      <c r="F32" s="7"/>
      <c r="G32" s="12"/>
      <c r="H32" s="34"/>
      <c r="I32" s="243">
        <v>2897163.4179400057</v>
      </c>
      <c r="J32" s="35"/>
      <c r="K32" s="244">
        <v>3445805</v>
      </c>
      <c r="L32" s="10"/>
      <c r="M32" s="4"/>
      <c r="N32" s="214"/>
    </row>
    <row r="33" spans="1:14" ht="15">
      <c r="A33" s="5" t="s">
        <v>384</v>
      </c>
      <c r="F33" s="7"/>
      <c r="G33" s="12">
        <v>23</v>
      </c>
      <c r="H33" s="34"/>
      <c r="I33" s="243">
        <v>60491003</v>
      </c>
      <c r="J33" s="35"/>
      <c r="K33" s="244">
        <v>1208613</v>
      </c>
      <c r="L33" s="10"/>
      <c r="M33" s="4"/>
      <c r="N33" s="214"/>
    </row>
    <row r="34" spans="1:16" ht="15">
      <c r="A34" s="5" t="s">
        <v>140</v>
      </c>
      <c r="G34" s="12">
        <v>24</v>
      </c>
      <c r="H34" s="34"/>
      <c r="I34" s="241">
        <f>'Note 21 - 25.1'!H102</f>
        <v>207574257</v>
      </c>
      <c r="J34" s="35"/>
      <c r="K34" s="242">
        <f>'Note 21 - 25.1'!J102</f>
        <v>196312269</v>
      </c>
      <c r="L34" s="10"/>
      <c r="M34" s="4"/>
      <c r="P34" s="214"/>
    </row>
    <row r="35" spans="1:14" ht="15">
      <c r="A35" s="5" t="s">
        <v>657</v>
      </c>
      <c r="G35" s="12">
        <v>25</v>
      </c>
      <c r="H35" s="34"/>
      <c r="I35" s="241">
        <f>'Note 21 - 25.1'!H128</f>
        <v>104641241.90129</v>
      </c>
      <c r="J35" s="35"/>
      <c r="K35" s="242">
        <f>'Note 21 - 25.1'!J128</f>
        <v>91129271</v>
      </c>
      <c r="L35" s="10"/>
      <c r="M35" s="4"/>
      <c r="N35" s="214"/>
    </row>
    <row r="36" spans="1:14" ht="15">
      <c r="A36" s="5" t="s">
        <v>141</v>
      </c>
      <c r="G36" s="12">
        <v>26</v>
      </c>
      <c r="H36" s="34"/>
      <c r="I36" s="241">
        <f>'NOTE 25.2 - 27'!E18</f>
        <v>89866240.26704</v>
      </c>
      <c r="J36" s="35"/>
      <c r="K36" s="242">
        <f>'NOTE 25.2 - 27'!G18</f>
        <v>96653981</v>
      </c>
      <c r="L36" s="10"/>
      <c r="M36" s="4"/>
      <c r="N36" s="214"/>
    </row>
    <row r="37" spans="1:14" ht="15">
      <c r="A37" s="5" t="s">
        <v>702</v>
      </c>
      <c r="F37" s="95"/>
      <c r="G37" s="12">
        <v>27</v>
      </c>
      <c r="H37" s="34"/>
      <c r="I37" s="245">
        <f>'NOTE 25.2 - 27'!E51</f>
        <v>58784560.85611</v>
      </c>
      <c r="J37" s="35"/>
      <c r="K37" s="246">
        <f>'NOTE 25.2 - 27'!G51</f>
        <v>21473518</v>
      </c>
      <c r="M37" s="4"/>
      <c r="N37" s="214"/>
    </row>
    <row r="38" spans="8:14" ht="15">
      <c r="H38" s="34"/>
      <c r="I38" s="56">
        <f>SUM(I30:I37)</f>
        <v>671824321.07238</v>
      </c>
      <c r="J38" s="35"/>
      <c r="K38" s="35">
        <f>SUM(K30:K37)</f>
        <v>516240874</v>
      </c>
      <c r="M38" s="4"/>
      <c r="N38" s="214"/>
    </row>
    <row r="39" spans="1:14" ht="15">
      <c r="A39" s="5" t="s">
        <v>703</v>
      </c>
      <c r="G39" s="12">
        <v>28</v>
      </c>
      <c r="H39" s="34"/>
      <c r="I39" s="56">
        <f>'NOTE 27.1 - 32'!L37</f>
        <v>3757368.65418</v>
      </c>
      <c r="J39" s="35"/>
      <c r="K39" s="35">
        <f>'NOTE 27.1 - 32'!N37</f>
        <v>3543969</v>
      </c>
      <c r="M39" s="4"/>
      <c r="N39" s="84"/>
    </row>
    <row r="40" spans="1:13" ht="15">
      <c r="A40" s="5" t="s">
        <v>125</v>
      </c>
      <c r="G40" s="12">
        <v>29</v>
      </c>
      <c r="H40" s="34"/>
      <c r="I40" s="56">
        <f>'NOTE 27.1 - 32'!L44</f>
        <v>426608</v>
      </c>
      <c r="J40" s="35"/>
      <c r="K40" s="35">
        <f>'NOTE 27.1 - 32'!N44</f>
        <v>414061</v>
      </c>
      <c r="M40" s="4"/>
    </row>
    <row r="41" spans="1:13" ht="15">
      <c r="A41" s="5" t="s">
        <v>704</v>
      </c>
      <c r="G41" s="12"/>
      <c r="H41" s="34"/>
      <c r="I41" s="239">
        <f>SUM(I38:I40)</f>
        <v>676008297.72656</v>
      </c>
      <c r="J41" s="35"/>
      <c r="K41" s="240">
        <f>SUM(K38:K40)</f>
        <v>520198904</v>
      </c>
      <c r="M41" s="4"/>
    </row>
    <row r="42" spans="7:13" ht="15">
      <c r="G42" s="12"/>
      <c r="H42" s="34"/>
      <c r="I42" s="56"/>
      <c r="J42" s="35"/>
      <c r="K42" s="35"/>
      <c r="M42" s="4"/>
    </row>
    <row r="43" spans="1:14" ht="15.75" thickBot="1">
      <c r="A43" s="6" t="s">
        <v>25</v>
      </c>
      <c r="G43" s="12"/>
      <c r="H43" s="34"/>
      <c r="I43" s="247">
        <f>+I26-I41-1</f>
        <v>140621883.67609</v>
      </c>
      <c r="J43" s="35"/>
      <c r="K43" s="248">
        <f>+K26-K41</f>
        <v>86227054</v>
      </c>
      <c r="M43" s="4"/>
      <c r="N43" s="84">
        <f>K43-K53</f>
        <v>0</v>
      </c>
    </row>
    <row r="44" spans="7:13" ht="7.5" customHeight="1" thickTop="1">
      <c r="G44" s="12"/>
      <c r="H44" s="34"/>
      <c r="I44" s="56"/>
      <c r="J44" s="35"/>
      <c r="K44" s="35"/>
      <c r="M44" s="4"/>
    </row>
    <row r="45" spans="1:13" ht="15">
      <c r="A45" s="5" t="s">
        <v>705</v>
      </c>
      <c r="G45" s="12">
        <v>30</v>
      </c>
      <c r="H45" s="34"/>
      <c r="I45" s="56">
        <f>'NOTE 27.1 - 32'!L54</f>
        <v>100000</v>
      </c>
      <c r="J45" s="35"/>
      <c r="K45" s="35">
        <f>'NOTE 27.1 - 32'!N54</f>
        <v>100000</v>
      </c>
      <c r="M45" s="4"/>
    </row>
    <row r="46" spans="1:13" ht="15">
      <c r="A46" s="5" t="s">
        <v>855</v>
      </c>
      <c r="G46" s="12">
        <v>31</v>
      </c>
      <c r="H46" s="34"/>
      <c r="I46" s="56">
        <v>1525958</v>
      </c>
      <c r="J46" s="35"/>
      <c r="K46" s="35">
        <v>1525958</v>
      </c>
      <c r="M46" s="4"/>
    </row>
    <row r="47" spans="1:13" ht="15">
      <c r="A47" s="5" t="s">
        <v>706</v>
      </c>
      <c r="G47" s="12">
        <v>32</v>
      </c>
      <c r="H47" s="34"/>
      <c r="I47" s="56">
        <v>26700000</v>
      </c>
      <c r="J47" s="35"/>
      <c r="K47" s="35">
        <v>16700000</v>
      </c>
      <c r="M47" s="4"/>
    </row>
    <row r="48" spans="1:13" ht="15">
      <c r="A48" s="5" t="s">
        <v>812</v>
      </c>
      <c r="G48" s="12"/>
      <c r="H48" s="34"/>
      <c r="I48" s="57">
        <f>equity!V49</f>
        <v>19142000.241420016</v>
      </c>
      <c r="J48" s="35"/>
      <c r="K48" s="230">
        <v>10060000</v>
      </c>
      <c r="M48" s="4"/>
    </row>
    <row r="49" spans="6:13" ht="15">
      <c r="F49" s="29"/>
      <c r="G49" s="12"/>
      <c r="H49" s="34"/>
      <c r="I49" s="56">
        <f>SUM(I45:I48)</f>
        <v>47467958.241420016</v>
      </c>
      <c r="J49" s="35"/>
      <c r="K49" s="35">
        <f>SUM(K45:K48)</f>
        <v>28385958</v>
      </c>
      <c r="M49" s="4"/>
    </row>
    <row r="50" spans="7:13" ht="15" hidden="1">
      <c r="G50" s="12"/>
      <c r="H50" s="34"/>
      <c r="I50" s="56"/>
      <c r="J50" s="35"/>
      <c r="K50" s="35"/>
      <c r="M50" s="4"/>
    </row>
    <row r="51" spans="1:13" ht="15">
      <c r="A51" s="5" t="s">
        <v>143</v>
      </c>
      <c r="G51" s="12">
        <v>33</v>
      </c>
      <c r="H51" s="34"/>
      <c r="I51" s="56">
        <f>'NOTE 27.1 - 32'!L94</f>
        <v>74406912</v>
      </c>
      <c r="J51" s="35"/>
      <c r="K51" s="35">
        <f>'NOTE 27.1 - 32'!N94</f>
        <v>51646593</v>
      </c>
      <c r="M51" s="4"/>
    </row>
    <row r="52" spans="1:13" ht="15">
      <c r="A52" s="5" t="s">
        <v>521</v>
      </c>
      <c r="G52" s="12">
        <v>19.2</v>
      </c>
      <c r="H52" s="34"/>
      <c r="I52" s="56">
        <f>'NOTE 17.3 - 20'!L7</f>
        <v>18747014</v>
      </c>
      <c r="J52" s="35"/>
      <c r="K52" s="35">
        <f>'NOTE 17.3 - 20'!N7</f>
        <v>6194503</v>
      </c>
      <c r="M52" s="4"/>
    </row>
    <row r="53" spans="7:13" ht="15.75" thickBot="1">
      <c r="G53" s="11"/>
      <c r="H53" s="34"/>
      <c r="I53" s="233">
        <f>SUM(I49:I52)</f>
        <v>140621884.24142003</v>
      </c>
      <c r="J53" s="35"/>
      <c r="K53" s="39">
        <f>SUM(K49:K52)</f>
        <v>86227054</v>
      </c>
      <c r="M53" s="4"/>
    </row>
    <row r="54" spans="7:11" ht="8.25" customHeight="1" thickTop="1">
      <c r="G54" s="11"/>
      <c r="H54" s="34"/>
      <c r="I54" s="47"/>
      <c r="J54" s="35"/>
      <c r="K54" s="35"/>
    </row>
    <row r="55" spans="1:15" ht="15">
      <c r="A55" s="6" t="s">
        <v>195</v>
      </c>
      <c r="G55" s="40">
        <v>34</v>
      </c>
      <c r="H55" s="34"/>
      <c r="M55" s="379">
        <f>I53-I43</f>
        <v>0.5653300285339355</v>
      </c>
      <c r="N55" s="42"/>
      <c r="O55" s="41">
        <f>K53-K43</f>
        <v>0</v>
      </c>
    </row>
    <row r="56" spans="1:8" ht="15">
      <c r="A56" s="5" t="str">
        <f>'BS-ISS'!A34</f>
        <v>The annexed notes 1 to 53 form an integral part of these financial statements.</v>
      </c>
      <c r="H56" s="9"/>
    </row>
    <row r="57" spans="8:11" ht="15">
      <c r="H57" s="9"/>
      <c r="I57" s="41"/>
      <c r="J57" s="42"/>
      <c r="K57" s="41"/>
    </row>
    <row r="58" spans="3:11" ht="15">
      <c r="C58" s="140" t="s">
        <v>853</v>
      </c>
      <c r="D58" s="9"/>
      <c r="E58" s="9"/>
      <c r="F58" s="140" t="s">
        <v>854</v>
      </c>
      <c r="H58" s="9"/>
      <c r="I58" s="41"/>
      <c r="J58" s="35" t="s">
        <v>94</v>
      </c>
      <c r="K58" s="41"/>
    </row>
    <row r="59" spans="1:11" ht="15">
      <c r="A59" s="6"/>
      <c r="C59" s="15" t="s">
        <v>245</v>
      </c>
      <c r="D59" s="15"/>
      <c r="E59" s="15"/>
      <c r="F59" s="15" t="s">
        <v>775</v>
      </c>
      <c r="I59" s="41"/>
      <c r="J59" s="32" t="s">
        <v>717</v>
      </c>
      <c r="K59" s="41"/>
    </row>
    <row r="60" spans="3:11" ht="15">
      <c r="C60" s="15" t="s">
        <v>93</v>
      </c>
      <c r="D60" s="15"/>
      <c r="E60" s="15"/>
      <c r="F60" s="15" t="s">
        <v>716</v>
      </c>
      <c r="I60" s="43"/>
      <c r="J60" s="32" t="s">
        <v>718</v>
      </c>
      <c r="K60" s="43"/>
    </row>
    <row r="62" spans="1:24" s="6" customFormat="1" ht="15">
      <c r="A62" s="5"/>
      <c r="B62" s="5"/>
      <c r="C62" s="5"/>
      <c r="D62" s="5"/>
      <c r="E62" s="5"/>
      <c r="F62" s="5"/>
      <c r="I62" s="43"/>
      <c r="J62" s="43"/>
      <c r="K62" s="43"/>
      <c r="L62" s="5"/>
      <c r="M62" s="8"/>
      <c r="N62" s="10"/>
      <c r="O62" s="4"/>
      <c r="P62" s="10"/>
      <c r="Q62" s="10"/>
      <c r="R62" s="10"/>
      <c r="S62" s="10"/>
      <c r="T62" s="10"/>
      <c r="U62" s="10"/>
      <c r="V62" s="10"/>
      <c r="W62" s="5"/>
      <c r="X62" s="5"/>
    </row>
    <row r="70" spans="8:11" ht="15">
      <c r="H70" s="9"/>
      <c r="I70" s="35"/>
      <c r="J70" s="44"/>
      <c r="K70" s="35"/>
    </row>
    <row r="71" spans="8:11" ht="15">
      <c r="H71" s="9"/>
      <c r="I71" s="41"/>
      <c r="J71" s="44"/>
      <c r="K71" s="41"/>
    </row>
    <row r="72" spans="8:11" ht="15">
      <c r="H72" s="9"/>
      <c r="I72" s="41"/>
      <c r="J72" s="44"/>
      <c r="K72" s="41"/>
    </row>
    <row r="73" spans="8:11" ht="15">
      <c r="H73" s="9"/>
      <c r="I73" s="41"/>
      <c r="J73" s="44"/>
      <c r="K73" s="41"/>
    </row>
  </sheetData>
  <mergeCells count="1">
    <mergeCell ref="I5:K5"/>
  </mergeCells>
  <printOptions/>
  <pageMargins left="0.75" right="0.5" top="0.5" bottom="0.5" header="0.25" footer="0.25"/>
  <pageSetup fitToHeight="1" fitToWidth="1"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N43"/>
  <sheetViews>
    <sheetView zoomScaleSheetLayoutView="100" workbookViewId="0" topLeftCell="A1">
      <selection activeCell="E47" sqref="E47"/>
    </sheetView>
  </sheetViews>
  <sheetFormatPr defaultColWidth="9.140625" defaultRowHeight="12.75"/>
  <cols>
    <col min="1" max="1" width="0.5625" style="5" customWidth="1"/>
    <col min="2" max="2" width="2.57421875" style="5" customWidth="1"/>
    <col min="3" max="3" width="4.00390625" style="5" customWidth="1"/>
    <col min="4" max="6" width="10.00390625" style="5" customWidth="1"/>
    <col min="7" max="7" width="6.57421875" style="5" customWidth="1"/>
    <col min="8" max="8" width="8.8515625" style="5" customWidth="1"/>
    <col min="9" max="9" width="10.7109375" style="5" customWidth="1"/>
    <col min="10" max="10" width="13.28125" style="47" customWidth="1"/>
    <col min="11" max="11" width="1.7109375" style="29" customWidth="1"/>
    <col min="12" max="12" width="13.28125" style="29" customWidth="1"/>
    <col min="13" max="13" width="7.57421875" style="5" hidden="1" customWidth="1"/>
    <col min="14" max="14" width="12.00390625" style="5" hidden="1" customWidth="1"/>
    <col min="15" max="16384" width="7.57421875" style="5" customWidth="1"/>
  </cols>
  <sheetData>
    <row r="1" spans="2:10" ht="20.25">
      <c r="B1" s="27" t="s">
        <v>355</v>
      </c>
      <c r="C1" s="98"/>
      <c r="D1" s="98"/>
      <c r="E1" s="98"/>
      <c r="F1" s="98"/>
      <c r="G1" s="98"/>
      <c r="H1" s="98"/>
      <c r="I1" s="6"/>
      <c r="J1" s="69"/>
    </row>
    <row r="2" spans="2:8" ht="18.75">
      <c r="B2" s="168" t="s">
        <v>826</v>
      </c>
      <c r="C2" s="98"/>
      <c r="D2" s="98"/>
      <c r="E2" s="98"/>
      <c r="F2" s="98"/>
      <c r="G2" s="98"/>
      <c r="H2" s="98"/>
    </row>
    <row r="3" spans="2:8" ht="15">
      <c r="B3" s="45" t="s">
        <v>587</v>
      </c>
      <c r="C3" s="98"/>
      <c r="D3" s="98"/>
      <c r="E3" s="98"/>
      <c r="F3" s="98"/>
      <c r="G3" s="98"/>
      <c r="H3" s="98"/>
    </row>
    <row r="4" spans="9:12" ht="15">
      <c r="I4" s="12" t="s">
        <v>676</v>
      </c>
      <c r="J4" s="150" t="s">
        <v>586</v>
      </c>
      <c r="K4" s="31"/>
      <c r="L4" s="54" t="s">
        <v>33</v>
      </c>
    </row>
    <row r="5" spans="9:12" ht="15">
      <c r="I5" s="12"/>
      <c r="J5" s="491" t="s">
        <v>832</v>
      </c>
      <c r="K5" s="491"/>
      <c r="L5" s="491"/>
    </row>
    <row r="6" spans="9:12" ht="6" customHeight="1">
      <c r="I6" s="12"/>
      <c r="J6" s="142"/>
      <c r="K6" s="142"/>
      <c r="L6" s="55"/>
    </row>
    <row r="7" spans="2:14" ht="15">
      <c r="B7" s="5" t="s">
        <v>68</v>
      </c>
      <c r="I7" s="40">
        <v>35</v>
      </c>
      <c r="J7" s="142">
        <f>'NOTE 33 - 34'!M50</f>
        <v>69880260.44988</v>
      </c>
      <c r="K7" s="151"/>
      <c r="L7" s="151">
        <f>'NOTE 33 - 34'!O50</f>
        <v>29733359.94332</v>
      </c>
      <c r="N7" s="29">
        <f>L7-J7</f>
        <v>-40146900.506560005</v>
      </c>
    </row>
    <row r="8" spans="2:14" ht="15">
      <c r="B8" s="5" t="s">
        <v>922</v>
      </c>
      <c r="D8" s="22"/>
      <c r="E8" s="22"/>
      <c r="F8" s="22"/>
      <c r="G8" s="22"/>
      <c r="H8" s="22"/>
      <c r="I8" s="40">
        <v>36</v>
      </c>
      <c r="J8" s="266">
        <f>'NOTE 35 - 40'!J6</f>
        <v>4047801.8434399995</v>
      </c>
      <c r="K8" s="151"/>
      <c r="L8" s="267">
        <f>'NOTE 35 - 40'!L6</f>
        <v>2284108</v>
      </c>
      <c r="N8" s="29">
        <f>L8-J8</f>
        <v>-1763693.8434399995</v>
      </c>
    </row>
    <row r="9" spans="4:14" ht="15">
      <c r="D9" s="22"/>
      <c r="E9" s="22"/>
      <c r="F9" s="22"/>
      <c r="G9" s="22"/>
      <c r="H9" s="22"/>
      <c r="I9" s="40"/>
      <c r="J9" s="145">
        <f>(J7-J8)-1</f>
        <v>65832457.60644001</v>
      </c>
      <c r="K9" s="151"/>
      <c r="L9" s="151">
        <f>L7-L8</f>
        <v>27449251.94332</v>
      </c>
      <c r="N9" s="29"/>
    </row>
    <row r="10" spans="2:14" ht="15">
      <c r="B10" s="22" t="s">
        <v>811</v>
      </c>
      <c r="I10" s="40">
        <v>37</v>
      </c>
      <c r="J10" s="142">
        <f>'NOTE 35 - 40'!J14</f>
        <v>441032.62843</v>
      </c>
      <c r="K10" s="151"/>
      <c r="L10" s="151">
        <f>'NOTE 35 - 40'!L14</f>
        <v>692958</v>
      </c>
      <c r="N10" s="29">
        <f>L10-J10</f>
        <v>251925.37157000002</v>
      </c>
    </row>
    <row r="11" spans="2:14" ht="15">
      <c r="B11" s="5" t="s">
        <v>389</v>
      </c>
      <c r="I11" s="40">
        <v>38</v>
      </c>
      <c r="J11" s="142">
        <f>'NOTE 35 - 40'!J28</f>
        <v>4376273.24675</v>
      </c>
      <c r="K11" s="151"/>
      <c r="L11" s="151">
        <f>'NOTE 35 - 40'!L28</f>
        <v>13827713</v>
      </c>
      <c r="N11" s="29">
        <f>L11-J11</f>
        <v>9451439.75325</v>
      </c>
    </row>
    <row r="12" spans="2:14" ht="15">
      <c r="B12" s="5" t="s">
        <v>19</v>
      </c>
      <c r="I12" s="40"/>
      <c r="J12" s="142">
        <v>1974628</v>
      </c>
      <c r="K12" s="151"/>
      <c r="L12" s="151">
        <v>1502638.583</v>
      </c>
      <c r="N12" s="29">
        <f>L12-J12</f>
        <v>-471989.4169999999</v>
      </c>
    </row>
    <row r="13" spans="2:14" ht="15">
      <c r="B13" s="5" t="s">
        <v>208</v>
      </c>
      <c r="I13" s="40">
        <v>39</v>
      </c>
      <c r="J13" s="142">
        <f>'NOTE 35 - 40'!J34</f>
        <v>102934</v>
      </c>
      <c r="K13" s="151"/>
      <c r="L13" s="146">
        <f>'NOTE 35 - 40'!L34</f>
        <v>51383</v>
      </c>
      <c r="N13" s="29">
        <f>L13-J13</f>
        <v>-51551</v>
      </c>
    </row>
    <row r="14" spans="2:14" ht="15">
      <c r="B14" s="22" t="s">
        <v>45</v>
      </c>
      <c r="I14" s="40">
        <v>40</v>
      </c>
      <c r="J14" s="266">
        <f>'NOTE 35 - 40'!J46</f>
        <v>799545.04815</v>
      </c>
      <c r="K14" s="151"/>
      <c r="L14" s="267">
        <f>'NOTE 35 - 40'!L46</f>
        <v>327904</v>
      </c>
      <c r="N14" s="29">
        <f>L14-J14</f>
        <v>-471641.04815000005</v>
      </c>
    </row>
    <row r="15" spans="9:14" ht="15">
      <c r="I15" s="11"/>
      <c r="J15" s="145">
        <f>SUM(J9:J14)</f>
        <v>73526870.52977002</v>
      </c>
      <c r="K15" s="151"/>
      <c r="L15" s="151">
        <f>SUM(L9:L14)</f>
        <v>43851848.526319996</v>
      </c>
      <c r="N15" s="29"/>
    </row>
    <row r="16" spans="2:14" ht="15">
      <c r="B16" s="5" t="s">
        <v>490</v>
      </c>
      <c r="I16" s="11"/>
      <c r="J16" s="142"/>
      <c r="K16" s="146"/>
      <c r="L16" s="146"/>
      <c r="N16" s="29"/>
    </row>
    <row r="17" spans="2:14" ht="6.75" customHeight="1">
      <c r="B17" s="48"/>
      <c r="I17" s="12"/>
      <c r="J17" s="145"/>
      <c r="K17" s="151"/>
      <c r="L17" s="151"/>
      <c r="N17" s="29"/>
    </row>
    <row r="18" spans="2:14" ht="15">
      <c r="B18" s="5" t="s">
        <v>110</v>
      </c>
      <c r="I18" s="40">
        <v>41</v>
      </c>
      <c r="J18" s="142">
        <f>'[1]Profit and loss'!$G$23</f>
        <v>2431476.4674</v>
      </c>
      <c r="K18" s="151"/>
      <c r="L18" s="146">
        <v>2486249</v>
      </c>
      <c r="N18" s="29">
        <f aca="true" t="shared" si="0" ref="N18:N23">L18-J18</f>
        <v>54772.532600000035</v>
      </c>
    </row>
    <row r="19" spans="2:14" ht="15">
      <c r="B19" s="5" t="s">
        <v>654</v>
      </c>
      <c r="I19" s="40">
        <v>42</v>
      </c>
      <c r="J19" s="142">
        <v>2190528</v>
      </c>
      <c r="K19" s="151"/>
      <c r="L19" s="151">
        <v>1743991</v>
      </c>
      <c r="N19" s="29">
        <f t="shared" si="0"/>
        <v>-446537</v>
      </c>
    </row>
    <row r="20" spans="2:14" ht="15">
      <c r="B20" s="5" t="s">
        <v>223</v>
      </c>
      <c r="C20" s="37"/>
      <c r="J20" s="5"/>
      <c r="K20" s="5"/>
      <c r="L20" s="5"/>
      <c r="N20" s="29"/>
    </row>
    <row r="21" spans="2:14" ht="15">
      <c r="B21" s="109" t="s">
        <v>671</v>
      </c>
      <c r="C21" s="5" t="s">
        <v>969</v>
      </c>
      <c r="I21" s="40"/>
      <c r="J21" s="258">
        <v>0</v>
      </c>
      <c r="K21" s="151"/>
      <c r="L21" s="268">
        <v>4687861</v>
      </c>
      <c r="N21" s="29">
        <f t="shared" si="0"/>
        <v>4687861</v>
      </c>
    </row>
    <row r="22" spans="2:14" ht="15">
      <c r="B22" s="109" t="s">
        <v>671</v>
      </c>
      <c r="C22" s="5" t="s">
        <v>351</v>
      </c>
      <c r="I22" s="40"/>
      <c r="J22" s="260">
        <v>0</v>
      </c>
      <c r="K22" s="151"/>
      <c r="L22" s="269">
        <v>395129</v>
      </c>
      <c r="N22" s="29">
        <f t="shared" si="0"/>
        <v>395129</v>
      </c>
    </row>
    <row r="23" spans="2:14" ht="15">
      <c r="B23" s="109" t="s">
        <v>671</v>
      </c>
      <c r="C23" s="5" t="s">
        <v>970</v>
      </c>
      <c r="I23" s="40"/>
      <c r="J23" s="262">
        <f>'[1]Profit and loss'!$G$28</f>
        <v>547691.2438099999</v>
      </c>
      <c r="K23" s="151"/>
      <c r="L23" s="270">
        <v>1551419</v>
      </c>
      <c r="N23" s="29">
        <f t="shared" si="0"/>
        <v>1003727.7561900001</v>
      </c>
    </row>
    <row r="24" spans="3:14" ht="15">
      <c r="C24" s="37"/>
      <c r="I24" s="40"/>
      <c r="J24" s="266">
        <f>SUM(J21:J23)</f>
        <v>547691.2438099999</v>
      </c>
      <c r="K24" s="151"/>
      <c r="L24" s="267">
        <f>SUM(L21:L23)</f>
        <v>6634409</v>
      </c>
      <c r="N24" s="29"/>
    </row>
    <row r="25" spans="2:14" ht="15">
      <c r="B25" s="6"/>
      <c r="I25" s="12"/>
      <c r="J25" s="145">
        <f>J15-J18-J19-J24+1</f>
        <v>68357175.81856002</v>
      </c>
      <c r="K25" s="151"/>
      <c r="L25" s="151">
        <f>L15-L18-L19-L24</f>
        <v>32987199.526319996</v>
      </c>
      <c r="N25" s="29"/>
    </row>
    <row r="26" spans="2:14" ht="15">
      <c r="B26" s="6"/>
      <c r="I26" s="12"/>
      <c r="J26" s="145"/>
      <c r="K26" s="151"/>
      <c r="L26" s="151"/>
      <c r="N26" s="29"/>
    </row>
    <row r="27" spans="2:14" ht="15">
      <c r="B27" s="5" t="s">
        <v>491</v>
      </c>
      <c r="H27" s="36"/>
      <c r="I27" s="40">
        <v>43</v>
      </c>
      <c r="J27" s="266">
        <f>'NOTE 41 - 42.1'!F46</f>
        <v>6956812.66406</v>
      </c>
      <c r="K27" s="151"/>
      <c r="L27" s="267">
        <f>'NOTE 41 - 42.1'!H46</f>
        <v>5779637</v>
      </c>
      <c r="N27" s="29">
        <f>L27-J27</f>
        <v>-1177175.6640600003</v>
      </c>
    </row>
    <row r="28" spans="2:14" ht="15">
      <c r="B28" s="6" t="s">
        <v>617</v>
      </c>
      <c r="I28" s="40"/>
      <c r="J28" s="145">
        <f>J25-J27</f>
        <v>61400363.15450002</v>
      </c>
      <c r="K28" s="151"/>
      <c r="L28" s="151">
        <f>L25-L27</f>
        <v>27207562.526319996</v>
      </c>
      <c r="N28" s="29"/>
    </row>
    <row r="29" spans="2:14" ht="6.75" customHeight="1">
      <c r="B29" s="6"/>
      <c r="I29" s="40"/>
      <c r="J29" s="145"/>
      <c r="K29" s="151"/>
      <c r="L29" s="151"/>
      <c r="N29" s="29"/>
    </row>
    <row r="30" spans="2:14" ht="15">
      <c r="B30" s="5" t="s">
        <v>107</v>
      </c>
      <c r="I30" s="40">
        <v>44</v>
      </c>
      <c r="J30" s="145">
        <f>'NOTE 42.5.4 - 44'!I32</f>
        <v>7246171.629349999</v>
      </c>
      <c r="K30" s="151"/>
      <c r="L30" s="151">
        <f>'NOTE 42.5.4 - 44'!K32</f>
        <v>4176882</v>
      </c>
      <c r="N30" s="29">
        <f>L30-J30</f>
        <v>-3069289.629349999</v>
      </c>
    </row>
    <row r="31" spans="9:14" ht="6" customHeight="1">
      <c r="I31" s="40"/>
      <c r="J31" s="145"/>
      <c r="K31" s="151"/>
      <c r="L31" s="151"/>
      <c r="N31" s="29"/>
    </row>
    <row r="32" spans="9:14" ht="6" customHeight="1">
      <c r="I32" s="40"/>
      <c r="J32" s="266"/>
      <c r="K32" s="151"/>
      <c r="L32" s="267"/>
      <c r="N32" s="29"/>
    </row>
    <row r="33" spans="9:14" ht="15">
      <c r="I33" s="40"/>
      <c r="J33" s="145">
        <f>SUM(J28:J32)</f>
        <v>68646534.78385001</v>
      </c>
      <c r="K33" s="151"/>
      <c r="L33" s="151">
        <f>SUM(L28:L32)</f>
        <v>31384444.526319996</v>
      </c>
      <c r="N33" s="29"/>
    </row>
    <row r="34" spans="2:14" ht="15">
      <c r="B34" s="5" t="s">
        <v>492</v>
      </c>
      <c r="I34" s="40">
        <v>45</v>
      </c>
      <c r="J34" s="266">
        <f>'NOTE 42.5.4 - 44'!I42</f>
        <v>462747.06875</v>
      </c>
      <c r="K34" s="151"/>
      <c r="L34" s="267">
        <f>'NOTE 42.5.4 - 44'!K42</f>
        <v>335209</v>
      </c>
      <c r="N34" s="29">
        <f>L34-J34</f>
        <v>-127538.06874999998</v>
      </c>
    </row>
    <row r="35" spans="2:14" ht="15.75" thickBot="1">
      <c r="B35" s="6" t="s">
        <v>209</v>
      </c>
      <c r="I35" s="40"/>
      <c r="J35" s="264">
        <f>J33-J34</f>
        <v>68183787.71510002</v>
      </c>
      <c r="K35" s="151"/>
      <c r="L35" s="271">
        <f>L33-L34</f>
        <v>31049235.526319996</v>
      </c>
      <c r="N35" s="29"/>
    </row>
    <row r="36" spans="2:12" ht="6.75" customHeight="1" thickTop="1">
      <c r="B36" s="6"/>
      <c r="I36" s="40"/>
      <c r="J36" s="145"/>
      <c r="K36" s="151"/>
      <c r="L36" s="151"/>
    </row>
    <row r="37" spans="1:12" ht="15" customHeight="1">
      <c r="A37" s="5" t="str">
        <f>'BS-ISS'!A34</f>
        <v>The annexed notes 1 to 53 form an integral part of these financial statements.</v>
      </c>
      <c r="B37" s="5" t="str">
        <f>'BS-ISS'!A34</f>
        <v>The annexed notes 1 to 53 form an integral part of these financial statements.</v>
      </c>
      <c r="C37" s="223"/>
      <c r="D37" s="223"/>
      <c r="E37" s="223"/>
      <c r="F37" s="223"/>
      <c r="G37" s="223"/>
      <c r="H37" s="223"/>
      <c r="I37" s="223"/>
      <c r="J37" s="224"/>
      <c r="K37" s="222"/>
      <c r="L37" s="222"/>
    </row>
    <row r="38" spans="10:12" ht="15">
      <c r="J38" s="153"/>
      <c r="K38" s="152"/>
      <c r="L38" s="152"/>
    </row>
    <row r="39" spans="4:12" ht="15" hidden="1">
      <c r="D39" s="6"/>
      <c r="E39" s="6"/>
      <c r="F39" s="6"/>
      <c r="G39" s="6"/>
      <c r="H39" s="6"/>
      <c r="J39" s="153"/>
      <c r="K39" s="152"/>
      <c r="L39" s="152"/>
    </row>
    <row r="40" spans="4:12" ht="15" hidden="1">
      <c r="D40" s="6"/>
      <c r="E40" s="6"/>
      <c r="F40" s="6"/>
      <c r="G40" s="6"/>
      <c r="H40" s="6"/>
      <c r="J40" s="153"/>
      <c r="K40" s="152"/>
      <c r="L40" s="152"/>
    </row>
    <row r="41" spans="4:12" ht="15">
      <c r="D41" s="140" t="s">
        <v>853</v>
      </c>
      <c r="E41" s="15"/>
      <c r="F41" s="15"/>
      <c r="G41" s="140" t="s">
        <v>854</v>
      </c>
      <c r="H41" s="140"/>
      <c r="J41" s="35" t="s">
        <v>94</v>
      </c>
      <c r="K41" s="35"/>
      <c r="L41" s="152"/>
    </row>
    <row r="42" spans="4:11" ht="15">
      <c r="D42" s="15" t="s">
        <v>245</v>
      </c>
      <c r="E42" s="15"/>
      <c r="F42" s="15"/>
      <c r="G42" s="15" t="s">
        <v>775</v>
      </c>
      <c r="H42" s="15"/>
      <c r="J42" s="32" t="s">
        <v>717</v>
      </c>
      <c r="K42" s="32"/>
    </row>
    <row r="43" spans="4:11" ht="15">
      <c r="D43" s="15" t="s">
        <v>93</v>
      </c>
      <c r="E43" s="15"/>
      <c r="F43" s="15"/>
      <c r="G43" s="15" t="s">
        <v>716</v>
      </c>
      <c r="H43" s="15"/>
      <c r="J43" s="32" t="s">
        <v>718</v>
      </c>
      <c r="K43" s="32"/>
    </row>
  </sheetData>
  <mergeCells count="1">
    <mergeCell ref="J5:L5"/>
  </mergeCells>
  <printOptions/>
  <pageMargins left="0.75" right="0.5" top="0.75" bottom="0.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9"/>
    <pageSetUpPr fitToPage="1"/>
  </sheetPr>
  <dimension ref="A1:W53"/>
  <sheetViews>
    <sheetView view="pageBreakPreview" zoomScaleSheetLayoutView="100" workbookViewId="0" topLeftCell="A1">
      <selection activeCell="D46" sqref="D46"/>
    </sheetView>
  </sheetViews>
  <sheetFormatPr defaultColWidth="9.140625" defaultRowHeight="12.75"/>
  <cols>
    <col min="1" max="11" width="6.421875" style="328" customWidth="1"/>
    <col min="12" max="13" width="1.7109375" style="328" customWidth="1"/>
    <col min="14" max="14" width="5.7109375" style="328" bestFit="1" customWidth="1"/>
    <col min="15" max="15" width="14.7109375" style="328" bestFit="1" customWidth="1"/>
    <col min="16" max="16" width="1.7109375" style="328" customWidth="1"/>
    <col min="17" max="17" width="14.00390625" style="328" bestFit="1" customWidth="1"/>
    <col min="18" max="18" width="12.7109375" style="328" hidden="1" customWidth="1"/>
    <col min="19" max="19" width="9.140625" style="328" customWidth="1"/>
    <col min="20" max="20" width="17.7109375" style="329" bestFit="1" customWidth="1"/>
    <col min="21" max="21" width="15.140625" style="329" bestFit="1" customWidth="1"/>
    <col min="22" max="22" width="15.00390625" style="328" bestFit="1" customWidth="1"/>
    <col min="23" max="16384" width="9.140625" style="328" customWidth="1"/>
  </cols>
  <sheetData>
    <row r="1" spans="1:18" ht="20.25">
      <c r="A1" s="27" t="s">
        <v>355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2"/>
      <c r="O1" s="2"/>
      <c r="P1" s="1"/>
      <c r="Q1" s="1"/>
      <c r="R1" s="327"/>
    </row>
    <row r="2" spans="1:18" ht="18.75">
      <c r="A2" s="167" t="s">
        <v>827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"/>
      <c r="M2" s="1"/>
      <c r="N2" s="1"/>
      <c r="O2" s="2"/>
      <c r="P2" s="1"/>
      <c r="Q2" s="1"/>
      <c r="R2" s="327"/>
    </row>
    <row r="3" spans="1:18" ht="15.75">
      <c r="A3" s="45" t="s">
        <v>587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  <c r="N3" s="1"/>
      <c r="O3" s="2"/>
      <c r="P3" s="1"/>
      <c r="Q3" s="1"/>
      <c r="R3" s="327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 t="s">
        <v>676</v>
      </c>
      <c r="O4" s="13">
        <v>2006</v>
      </c>
      <c r="P4" s="15"/>
      <c r="Q4" s="50">
        <v>2005</v>
      </c>
      <c r="R4" s="7"/>
    </row>
    <row r="5" spans="1:1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492" t="s">
        <v>832</v>
      </c>
      <c r="P5" s="492"/>
      <c r="Q5" s="492"/>
      <c r="R5" s="7"/>
    </row>
    <row r="6" spans="1:1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1"/>
      <c r="O6" s="15"/>
      <c r="P6" s="15"/>
      <c r="Q6" s="15"/>
      <c r="R6" s="7"/>
    </row>
    <row r="7" spans="1:18" ht="15">
      <c r="A7" s="6" t="s">
        <v>618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40">
        <v>46</v>
      </c>
      <c r="O7" s="43">
        <f>'NOTE 45 - 46'!D17</f>
        <v>68453490.25656001</v>
      </c>
      <c r="P7" s="398"/>
      <c r="Q7" s="235">
        <f>'[3]NOTE 42 - 45'!F42</f>
        <v>39722037.526319996</v>
      </c>
      <c r="R7" s="7"/>
    </row>
    <row r="8" spans="1:18" ht="8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5"/>
      <c r="P8" s="398"/>
      <c r="Q8" s="235"/>
      <c r="R8" s="7"/>
    </row>
    <row r="9" spans="1:18" ht="15">
      <c r="A9" s="5" t="s">
        <v>391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1"/>
      <c r="O9" s="5"/>
      <c r="P9" s="235"/>
      <c r="Q9" s="235"/>
      <c r="R9" s="7"/>
    </row>
    <row r="10" spans="1:18" ht="15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274">
        <v>-248459</v>
      </c>
      <c r="P10" s="409"/>
      <c r="Q10" s="409">
        <v>-138799</v>
      </c>
      <c r="R10" s="7"/>
    </row>
    <row r="11" spans="1:18" ht="15">
      <c r="A11" s="5" t="s">
        <v>944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274">
        <v>-211</v>
      </c>
      <c r="P11" s="409"/>
      <c r="Q11" s="409">
        <v>-253</v>
      </c>
      <c r="R11" s="7"/>
    </row>
    <row r="12" spans="1:22" ht="15">
      <c r="A12" s="5" t="s">
        <v>876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O12" s="274">
        <v>9115545</v>
      </c>
      <c r="P12" s="409"/>
      <c r="Q12" s="409">
        <v>-9115545</v>
      </c>
      <c r="R12" s="7"/>
      <c r="V12" s="329"/>
    </row>
    <row r="13" spans="1:22" ht="15">
      <c r="A13" s="5" t="s">
        <v>919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  <c r="O13" s="274">
        <v>-559</v>
      </c>
      <c r="P13" s="409"/>
      <c r="Q13" s="409">
        <v>-4720</v>
      </c>
      <c r="R13" s="7"/>
      <c r="V13" s="329"/>
    </row>
    <row r="14" spans="1:22" ht="15">
      <c r="A14" s="5" t="s">
        <v>672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1"/>
      <c r="O14" s="274">
        <v>-182660359</v>
      </c>
      <c r="P14" s="409"/>
      <c r="Q14" s="409">
        <v>-162758209</v>
      </c>
      <c r="R14" s="7"/>
      <c r="V14" s="329"/>
    </row>
    <row r="15" spans="1:22" ht="15">
      <c r="A15" s="5" t="s">
        <v>679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274">
        <v>-8085275.789799999</v>
      </c>
      <c r="P15" s="409"/>
      <c r="Q15" s="409">
        <v>-27112640</v>
      </c>
      <c r="R15" s="7"/>
      <c r="V15" s="329"/>
    </row>
    <row r="16" spans="1:22" ht="15">
      <c r="A16" s="5" t="s">
        <v>56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  <c r="O16" s="274">
        <v>30413</v>
      </c>
      <c r="P16" s="409"/>
      <c r="Q16" s="409">
        <f>'[4]CFW'!G86</f>
        <v>-49188</v>
      </c>
      <c r="R16" s="7"/>
      <c r="V16" s="329"/>
    </row>
    <row r="17" spans="1:22" ht="15">
      <c r="A17" s="5" t="s">
        <v>682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  <c r="O17" s="274">
        <v>-2242</v>
      </c>
      <c r="P17" s="409"/>
      <c r="Q17" s="409">
        <f>'[4]CFW'!G92</f>
        <v>-9129</v>
      </c>
      <c r="R17" s="7"/>
      <c r="V17" s="330"/>
    </row>
    <row r="18" spans="1:22" ht="15">
      <c r="A18" s="5" t="s">
        <v>877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  <c r="O18" s="275">
        <f>-14717117.49731+10000000</f>
        <v>-4717117.49731</v>
      </c>
      <c r="P18" s="409"/>
      <c r="Q18" s="406">
        <v>4062651</v>
      </c>
      <c r="R18" s="7"/>
      <c r="T18" s="145"/>
      <c r="U18" s="64"/>
      <c r="V18" s="331"/>
    </row>
    <row r="19" spans="1:22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  <c r="O19" s="398">
        <f>SUM(O10:O18)</f>
        <v>-186568265.28711</v>
      </c>
      <c r="P19" s="235"/>
      <c r="Q19" s="235">
        <f>SUM(Q10:Q18)</f>
        <v>-195125832</v>
      </c>
      <c r="R19" s="7"/>
      <c r="T19" s="145"/>
      <c r="U19" s="64"/>
      <c r="V19" s="331"/>
    </row>
    <row r="20" spans="1:22" ht="15">
      <c r="A20" s="5" t="s">
        <v>390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  <c r="O20" s="398"/>
      <c r="P20" s="235"/>
      <c r="Q20" s="235"/>
      <c r="R20" s="7"/>
      <c r="T20" s="142"/>
      <c r="U20" s="62"/>
      <c r="V20" s="331"/>
    </row>
    <row r="21" spans="1:22" ht="15">
      <c r="A21" s="5" t="s">
        <v>493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  <c r="O21" s="399">
        <v>78509578</v>
      </c>
      <c r="P21" s="235"/>
      <c r="Q21" s="400">
        <v>93962051</v>
      </c>
      <c r="R21" s="7"/>
      <c r="T21" s="145"/>
      <c r="U21" s="64"/>
      <c r="V21" s="331"/>
    </row>
    <row r="22" spans="1:22" ht="15">
      <c r="A22" s="5" t="s">
        <v>695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"/>
      <c r="O22" s="401">
        <v>-626953</v>
      </c>
      <c r="P22" s="235"/>
      <c r="Q22" s="402">
        <f>'[4]CFW'!G119</f>
        <v>605318</v>
      </c>
      <c r="R22" s="7"/>
      <c r="T22" s="142"/>
      <c r="U22" s="62"/>
      <c r="V22" s="331"/>
    </row>
    <row r="23" spans="1:22" ht="15">
      <c r="A23" s="5" t="s">
        <v>756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  <c r="O23" s="401">
        <f>35389165-10000000</f>
        <v>25389165</v>
      </c>
      <c r="P23" s="235"/>
      <c r="Q23" s="402">
        <v>59447806</v>
      </c>
      <c r="R23" s="7"/>
      <c r="T23" s="145"/>
      <c r="U23" s="62"/>
      <c r="V23" s="331"/>
    </row>
    <row r="24" spans="1:22" ht="15">
      <c r="A24" s="5" t="s">
        <v>291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  <c r="O24" s="401">
        <v>-548641.6170599908</v>
      </c>
      <c r="P24" s="235"/>
      <c r="Q24" s="402">
        <v>337007</v>
      </c>
      <c r="R24" s="7"/>
      <c r="T24" s="142"/>
      <c r="U24" s="62"/>
      <c r="V24" s="331"/>
    </row>
    <row r="25" spans="1:22" ht="15">
      <c r="A25" s="5" t="s">
        <v>700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401">
        <v>59282390</v>
      </c>
      <c r="P25" s="235"/>
      <c r="Q25" s="402">
        <v>-68109552</v>
      </c>
      <c r="R25" s="7"/>
      <c r="V25" s="332"/>
    </row>
    <row r="26" spans="1:18" ht="15">
      <c r="A26" s="5" t="s">
        <v>140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/>
      <c r="O26" s="401">
        <v>11261988</v>
      </c>
      <c r="P26" s="235"/>
      <c r="Q26" s="402">
        <v>40141464</v>
      </c>
      <c r="R26" s="7"/>
    </row>
    <row r="27" spans="1:22" ht="15">
      <c r="A27" s="5" t="s">
        <v>657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1"/>
      <c r="O27" s="401">
        <f>18019155.90129-4507185</f>
        <v>13511970.90129</v>
      </c>
      <c r="P27" s="235"/>
      <c r="Q27" s="402">
        <f>3593282+4507185</f>
        <v>8100467</v>
      </c>
      <c r="R27" s="7"/>
      <c r="V27" s="332"/>
    </row>
    <row r="28" spans="1:23" ht="15">
      <c r="A28" s="5" t="s">
        <v>141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  <c r="O28" s="401">
        <v>-6787741</v>
      </c>
      <c r="P28" s="235"/>
      <c r="Q28" s="402">
        <v>-5751253</v>
      </c>
      <c r="R28" s="7"/>
      <c r="T28" s="333"/>
      <c r="U28" s="333"/>
      <c r="V28" s="334"/>
      <c r="W28" s="334"/>
    </row>
    <row r="29" spans="1:23" ht="15">
      <c r="A29" s="5" t="s">
        <v>878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  <c r="O29" s="403">
        <f>-2377391.15131+2363914-2363914</f>
        <v>-2377391.15131</v>
      </c>
      <c r="P29" s="235"/>
      <c r="Q29" s="404">
        <v>16979158</v>
      </c>
      <c r="R29" s="7"/>
      <c r="T29" s="56"/>
      <c r="U29" s="35"/>
      <c r="V29" s="35"/>
      <c r="W29" s="334"/>
    </row>
    <row r="30" spans="1:2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05"/>
      <c r="O30" s="398">
        <f>SUM(O21:O29)</f>
        <v>177614365.13292</v>
      </c>
      <c r="P30" s="235"/>
      <c r="Q30" s="235">
        <f>SUM(Q21:Q29)</f>
        <v>145712466</v>
      </c>
      <c r="R30" s="7"/>
      <c r="T30" s="56"/>
      <c r="U30" s="35"/>
      <c r="V30" s="35"/>
      <c r="W30" s="334"/>
    </row>
    <row r="31" spans="1:2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  <c r="O31" s="272"/>
      <c r="P31" s="235"/>
      <c r="Q31" s="406"/>
      <c r="R31" s="7"/>
      <c r="T31" s="148"/>
      <c r="U31" s="35"/>
      <c r="V31" s="71"/>
      <c r="W31" s="334"/>
    </row>
    <row r="32" spans="1:23" ht="15">
      <c r="A32" s="493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11"/>
      <c r="O32" s="398">
        <f>(O30+O19+O7)</f>
        <v>59499590.10237001</v>
      </c>
      <c r="P32" s="235"/>
      <c r="Q32" s="235">
        <f>+Q30+Q19+Q7</f>
        <v>-9691328.473680004</v>
      </c>
      <c r="R32" s="7"/>
      <c r="T32" s="148"/>
      <c r="U32" s="35"/>
      <c r="V32" s="71"/>
      <c r="W32" s="334"/>
    </row>
    <row r="33" spans="1:23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398"/>
      <c r="P33" s="235"/>
      <c r="Q33" s="235"/>
      <c r="R33" s="7"/>
      <c r="T33" s="56"/>
      <c r="U33" s="35"/>
      <c r="V33" s="35"/>
      <c r="W33" s="334"/>
    </row>
    <row r="34" spans="1:23" ht="15">
      <c r="A34" s="94" t="s">
        <v>32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5"/>
      <c r="M34" s="5"/>
      <c r="N34" s="11"/>
      <c r="O34" s="399">
        <v>-596397.3379100002</v>
      </c>
      <c r="P34" s="235"/>
      <c r="Q34" s="400">
        <f>-'[4]CFW'!C186</f>
        <v>-426972</v>
      </c>
      <c r="R34" s="7"/>
      <c r="T34" s="56"/>
      <c r="U34" s="35"/>
      <c r="V34" s="35"/>
      <c r="W34" s="334"/>
    </row>
    <row r="35" spans="1:23" ht="15">
      <c r="A35" s="94" t="s">
        <v>494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5"/>
      <c r="M35" s="189"/>
      <c r="N35" s="11"/>
      <c r="O35" s="401">
        <v>1974628</v>
      </c>
      <c r="P35" s="235"/>
      <c r="Q35" s="402">
        <f>'[4]P AND L'!G13</f>
        <v>1502639</v>
      </c>
      <c r="R35" s="7"/>
      <c r="T35" s="56"/>
      <c r="U35" s="35"/>
      <c r="V35" s="35"/>
      <c r="W35" s="334"/>
    </row>
    <row r="36" spans="1:23" ht="15">
      <c r="A36" s="94" t="s">
        <v>939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5"/>
      <c r="M36" s="189"/>
      <c r="N36" s="11"/>
      <c r="O36" s="401">
        <v>-51195</v>
      </c>
      <c r="P36" s="235"/>
      <c r="Q36" s="402">
        <v>0</v>
      </c>
      <c r="R36" s="7"/>
      <c r="T36" s="104"/>
      <c r="U36" s="35"/>
      <c r="V36" s="42"/>
      <c r="W36" s="334"/>
    </row>
    <row r="37" spans="1:23" ht="15">
      <c r="A37" s="94" t="s">
        <v>484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5"/>
      <c r="M37" s="5"/>
      <c r="N37" s="11"/>
      <c r="O37" s="401">
        <v>-279633</v>
      </c>
      <c r="P37" s="235"/>
      <c r="Q37" s="402">
        <f>'[4]CFW'!C199</f>
        <v>-235036</v>
      </c>
      <c r="R37" s="7"/>
      <c r="T37" s="56"/>
      <c r="U37" s="35"/>
      <c r="V37" s="35"/>
      <c r="W37" s="334"/>
    </row>
    <row r="38" spans="1:23" ht="15">
      <c r="A38" s="94" t="s">
        <v>552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5"/>
      <c r="M38" s="5"/>
      <c r="N38" s="405"/>
      <c r="O38" s="407">
        <v>77113</v>
      </c>
      <c r="P38" s="235"/>
      <c r="Q38" s="404">
        <f>'[4]CFW'!C207</f>
        <v>968782</v>
      </c>
      <c r="R38" s="7"/>
      <c r="T38" s="56"/>
      <c r="U38" s="35"/>
      <c r="V38" s="35"/>
      <c r="W38" s="334"/>
    </row>
    <row r="39" spans="1:23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5"/>
      <c r="M39" s="5"/>
      <c r="N39" s="11"/>
      <c r="O39" s="398">
        <f>SUM(O34:O38)</f>
        <v>1124515.6620899998</v>
      </c>
      <c r="P39" s="235"/>
      <c r="Q39" s="235">
        <f>SUM(Q34:Q38)</f>
        <v>1809413</v>
      </c>
      <c r="R39" s="7"/>
      <c r="T39" s="56"/>
      <c r="U39" s="35"/>
      <c r="V39" s="35"/>
      <c r="W39" s="334"/>
    </row>
    <row r="40" spans="1:23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5"/>
      <c r="M40" s="5"/>
      <c r="N40" s="11"/>
      <c r="O40" s="6"/>
      <c r="P40" s="235"/>
      <c r="Q40" s="235"/>
      <c r="R40" s="7"/>
      <c r="T40" s="333"/>
      <c r="U40" s="333"/>
      <c r="V40" s="334"/>
      <c r="W40" s="334"/>
    </row>
    <row r="41" spans="1:23" ht="15">
      <c r="A41" s="94" t="s">
        <v>920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5"/>
      <c r="M41" s="5"/>
      <c r="N41" s="11"/>
      <c r="O41" s="408">
        <v>-10000</v>
      </c>
      <c r="P41" s="409"/>
      <c r="Q41" s="409">
        <f>'[4]P AND L'!G46</f>
        <v>-10000</v>
      </c>
      <c r="R41" s="7"/>
      <c r="T41" s="333"/>
      <c r="U41" s="333"/>
      <c r="V41" s="334"/>
      <c r="W41" s="334"/>
    </row>
    <row r="42" spans="1:18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1"/>
      <c r="O42" s="410"/>
      <c r="P42" s="235"/>
      <c r="Q42" s="406"/>
      <c r="R42" s="7"/>
    </row>
    <row r="43" spans="1:18" ht="15">
      <c r="A43" s="5" t="s">
        <v>346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1"/>
      <c r="O43" s="398">
        <f>+O41+O39+O32</f>
        <v>60614105.76446001</v>
      </c>
      <c r="P43" s="235"/>
      <c r="Q43" s="235">
        <f>+Q41+Q39+Q32</f>
        <v>-7891915.4736800045</v>
      </c>
      <c r="R43" s="7"/>
    </row>
    <row r="44" spans="1:18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398"/>
      <c r="P44" s="235"/>
      <c r="Q44" s="235"/>
      <c r="R44" s="7"/>
    </row>
    <row r="45" spans="1:18" ht="15">
      <c r="A45" s="5" t="s">
        <v>201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11">
        <f>Q47</f>
        <v>642406962.52632</v>
      </c>
      <c r="P45" s="235"/>
      <c r="Q45" s="235">
        <v>650298878</v>
      </c>
      <c r="R45" s="7"/>
    </row>
    <row r="46" spans="1:18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35"/>
      <c r="Q46" s="235"/>
      <c r="R46" s="7"/>
    </row>
    <row r="47" spans="1:18" ht="15.75" thickBot="1">
      <c r="A47" s="5" t="s">
        <v>202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0">
        <v>47</v>
      </c>
      <c r="O47" s="412">
        <f>+O45+O43+1</f>
        <v>703021069.29078</v>
      </c>
      <c r="P47" s="235"/>
      <c r="Q47" s="236">
        <f>+Q45+Q43</f>
        <v>642406962.52632</v>
      </c>
      <c r="R47" s="7"/>
    </row>
    <row r="48" spans="1:18" ht="15.7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5"/>
      <c r="Q48" s="5"/>
      <c r="R48" s="7"/>
    </row>
    <row r="49" spans="1:18" ht="15">
      <c r="A49" s="5" t="str">
        <f>'BS-ISS'!A34</f>
        <v>The annexed notes 1 to 53 form an integral part of these financial statements.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9"/>
      <c r="N49" s="191"/>
      <c r="O49" s="335"/>
      <c r="P49" s="5"/>
      <c r="Q49" s="5"/>
      <c r="R49" s="7"/>
    </row>
    <row r="50" spans="1:18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9"/>
      <c r="N50" s="191"/>
      <c r="O50" s="335"/>
      <c r="P50" s="5"/>
      <c r="Q50" s="5"/>
      <c r="R50" s="7"/>
    </row>
    <row r="51" spans="1:18" ht="15">
      <c r="A51" s="5"/>
      <c r="B51" s="140" t="s">
        <v>853</v>
      </c>
      <c r="C51" s="5"/>
      <c r="D51" s="5"/>
      <c r="E51" s="5"/>
      <c r="F51" s="5"/>
      <c r="H51" s="140" t="s">
        <v>854</v>
      </c>
      <c r="I51" s="5"/>
      <c r="J51" s="5"/>
      <c r="K51" s="5"/>
      <c r="L51" s="15"/>
      <c r="M51" s="15"/>
      <c r="N51" s="5"/>
      <c r="O51" s="35" t="s">
        <v>94</v>
      </c>
      <c r="P51" s="15"/>
      <c r="Q51" s="6"/>
      <c r="R51" s="7"/>
    </row>
    <row r="52" spans="2:15" ht="14.25">
      <c r="B52" s="15" t="s">
        <v>245</v>
      </c>
      <c r="H52" s="15" t="s">
        <v>775</v>
      </c>
      <c r="O52" s="32" t="s">
        <v>717</v>
      </c>
    </row>
    <row r="53" spans="2:15" ht="14.25">
      <c r="B53" s="15" t="s">
        <v>93</v>
      </c>
      <c r="H53" s="15" t="s">
        <v>716</v>
      </c>
      <c r="O53" s="32" t="s">
        <v>718</v>
      </c>
    </row>
  </sheetData>
  <mergeCells count="2">
    <mergeCell ref="O5:Q5"/>
    <mergeCell ref="A32:M32"/>
  </mergeCells>
  <printOptions/>
  <pageMargins left="0.75" right="0.5" top="0.75" bottom="0.5" header="0.5" footer="0.25"/>
  <pageSetup fitToHeight="1" fitToWidth="1" horizontalDpi="600" verticalDpi="600" orientation="portrait" paperSize="9" scale="82" r:id="rId1"/>
  <colBreaks count="1" manualBreakCount="1">
    <brk id="17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50" zoomScaleNormal="75" zoomScaleSheetLayoutView="50" workbookViewId="0" topLeftCell="A5">
      <selection activeCell="A48" sqref="A48"/>
    </sheetView>
  </sheetViews>
  <sheetFormatPr defaultColWidth="9.140625" defaultRowHeight="12.75"/>
  <cols>
    <col min="1" max="1" width="52.00390625" style="5" customWidth="1"/>
    <col min="2" max="2" width="9.8515625" style="5" customWidth="1"/>
    <col min="3" max="3" width="1.7109375" style="5" customWidth="1"/>
    <col min="4" max="4" width="13.140625" style="5" customWidth="1"/>
    <col min="5" max="5" width="1.7109375" style="5" customWidth="1"/>
    <col min="6" max="6" width="13.28125" style="5" customWidth="1"/>
    <col min="7" max="7" width="1.7109375" style="5" customWidth="1"/>
    <col min="8" max="8" width="12.00390625" style="5" customWidth="1"/>
    <col min="9" max="9" width="1.7109375" style="5" customWidth="1"/>
    <col min="10" max="10" width="12.28125" style="5" customWidth="1"/>
    <col min="11" max="11" width="1.7109375" style="5" customWidth="1"/>
    <col min="12" max="12" width="12.140625" style="5" bestFit="1" customWidth="1"/>
    <col min="13" max="13" width="1.7109375" style="5" customWidth="1"/>
    <col min="14" max="14" width="10.57421875" style="5" bestFit="1" customWidth="1"/>
    <col min="15" max="15" width="1.7109375" style="5" customWidth="1"/>
    <col min="16" max="16" width="12.28125" style="5" bestFit="1" customWidth="1"/>
    <col min="17" max="17" width="1.7109375" style="5" customWidth="1"/>
    <col min="18" max="18" width="13.57421875" style="5" customWidth="1"/>
    <col min="19" max="19" width="1.7109375" style="5" customWidth="1"/>
    <col min="20" max="20" width="13.28125" style="5" customWidth="1"/>
    <col min="21" max="21" width="1.7109375" style="5" customWidth="1"/>
    <col min="22" max="22" width="15.421875" style="5" customWidth="1"/>
    <col min="23" max="23" width="1.7109375" style="5" customWidth="1"/>
    <col min="24" max="24" width="14.7109375" style="5" customWidth="1"/>
    <col min="25" max="25" width="1.7109375" style="5" customWidth="1"/>
    <col min="26" max="26" width="12.28125" style="5" bestFit="1" customWidth="1"/>
    <col min="27" max="27" width="11.28125" style="5" bestFit="1" customWidth="1"/>
    <col min="28" max="16384" width="9.140625" style="5" customWidth="1"/>
  </cols>
  <sheetData>
    <row r="1" spans="1:25" ht="20.25">
      <c r="A1" s="27" t="s">
        <v>355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3"/>
      <c r="U1" s="44"/>
      <c r="V1" s="43"/>
      <c r="W1" s="44"/>
      <c r="X1" s="44"/>
      <c r="Y1" s="10"/>
    </row>
    <row r="2" spans="1:25" ht="18.75">
      <c r="A2" s="168" t="s">
        <v>828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0"/>
    </row>
    <row r="3" spans="1:25" ht="15">
      <c r="A3" s="45" t="s">
        <v>587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10"/>
    </row>
    <row r="4" spans="1:25" ht="4.5" customHeight="1" hidden="1">
      <c r="A4" s="4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10"/>
    </row>
    <row r="5" spans="1:25" ht="15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41" t="s">
        <v>832</v>
      </c>
      <c r="Y5" s="10"/>
    </row>
    <row r="6" spans="1:25" ht="15">
      <c r="A6" s="10"/>
      <c r="B6" s="496" t="s">
        <v>705</v>
      </c>
      <c r="C6" s="343"/>
      <c r="D6" s="496" t="s">
        <v>385</v>
      </c>
      <c r="E6" s="498" t="s">
        <v>147</v>
      </c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6" t="s">
        <v>143</v>
      </c>
      <c r="S6" s="499"/>
      <c r="T6" s="496" t="s">
        <v>521</v>
      </c>
      <c r="U6" s="342"/>
      <c r="V6" s="496" t="s">
        <v>812</v>
      </c>
      <c r="W6" s="344"/>
      <c r="X6" s="494" t="s">
        <v>980</v>
      </c>
      <c r="Y6" s="10"/>
    </row>
    <row r="7" spans="1:25" ht="57" customHeight="1">
      <c r="A7" s="10"/>
      <c r="B7" s="496"/>
      <c r="C7" s="343"/>
      <c r="D7" s="497"/>
      <c r="E7" s="346"/>
      <c r="F7" s="337" t="s">
        <v>790</v>
      </c>
      <c r="G7" s="337"/>
      <c r="H7" s="337" t="s">
        <v>791</v>
      </c>
      <c r="I7" s="337"/>
      <c r="J7" s="337" t="s">
        <v>792</v>
      </c>
      <c r="K7" s="337"/>
      <c r="L7" s="337" t="s">
        <v>794</v>
      </c>
      <c r="M7" s="337"/>
      <c r="N7" s="337" t="s">
        <v>795</v>
      </c>
      <c r="O7" s="337"/>
      <c r="P7" s="337" t="s">
        <v>796</v>
      </c>
      <c r="Q7" s="337"/>
      <c r="R7" s="497"/>
      <c r="S7" s="499"/>
      <c r="T7" s="497"/>
      <c r="U7" s="345"/>
      <c r="V7" s="497"/>
      <c r="W7" s="222"/>
      <c r="X7" s="495"/>
      <c r="Y7" s="6"/>
    </row>
    <row r="8" spans="1:25" ht="15">
      <c r="A8" s="27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5"/>
      <c r="W8" s="44"/>
      <c r="X8" s="44"/>
      <c r="Y8" s="10"/>
    </row>
    <row r="9" spans="1:25" ht="15">
      <c r="A9" s="279" t="s">
        <v>468</v>
      </c>
      <c r="B9" s="151">
        <v>100000</v>
      </c>
      <c r="C9" s="151"/>
      <c r="D9" s="151">
        <v>1525958</v>
      </c>
      <c r="E9" s="151"/>
      <c r="F9" s="151">
        <v>5400000</v>
      </c>
      <c r="G9" s="151"/>
      <c r="H9" s="151">
        <v>2600000</v>
      </c>
      <c r="I9" s="151"/>
      <c r="J9" s="151">
        <v>1600000</v>
      </c>
      <c r="K9" s="151"/>
      <c r="L9" s="151">
        <v>1500000</v>
      </c>
      <c r="M9" s="151"/>
      <c r="N9" s="151">
        <v>900000</v>
      </c>
      <c r="O9" s="151"/>
      <c r="P9" s="151">
        <v>4700000</v>
      </c>
      <c r="Q9" s="151"/>
      <c r="R9" s="151">
        <v>45205621</v>
      </c>
      <c r="S9" s="151"/>
      <c r="T9" s="151">
        <v>6637328</v>
      </c>
      <c r="U9" s="151"/>
      <c r="V9" s="151">
        <v>0</v>
      </c>
      <c r="W9" s="151"/>
      <c r="X9" s="151">
        <f>SUM(B9:V9)</f>
        <v>70168907</v>
      </c>
      <c r="Y9" s="38"/>
    </row>
    <row r="10" spans="2:24" ht="9.75" customHeight="1"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</row>
    <row r="11" spans="1:24" ht="12.75">
      <c r="A11" s="382" t="s">
        <v>318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</row>
    <row r="12" spans="1:25" ht="15">
      <c r="A12" s="279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40"/>
    </row>
    <row r="13" spans="1:25" ht="15">
      <c r="A13" s="279" t="s">
        <v>495</v>
      </c>
      <c r="B13" s="151">
        <v>0</v>
      </c>
      <c r="C13" s="151"/>
      <c r="D13" s="151">
        <v>0</v>
      </c>
      <c r="E13" s="151"/>
      <c r="F13" s="151">
        <v>0</v>
      </c>
      <c r="G13" s="151"/>
      <c r="H13" s="151">
        <v>0</v>
      </c>
      <c r="I13" s="151"/>
      <c r="J13" s="151">
        <v>0</v>
      </c>
      <c r="K13" s="151"/>
      <c r="L13" s="151">
        <v>0</v>
      </c>
      <c r="M13" s="151"/>
      <c r="N13" s="151">
        <v>0</v>
      </c>
      <c r="O13" s="151"/>
      <c r="P13" s="151">
        <v>0</v>
      </c>
      <c r="Q13" s="151"/>
      <c r="R13" s="268">
        <v>0</v>
      </c>
      <c r="S13" s="151"/>
      <c r="T13" s="268">
        <v>0</v>
      </c>
      <c r="U13" s="151"/>
      <c r="V13" s="268">
        <f>'P AND L '!L35</f>
        <v>31049235.526319996</v>
      </c>
      <c r="W13" s="151"/>
      <c r="X13" s="268">
        <f>SUM(B13:V13)</f>
        <v>31049235.526319996</v>
      </c>
      <c r="Y13" s="140"/>
    </row>
    <row r="14" spans="1:25" ht="15">
      <c r="A14" s="279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269"/>
      <c r="S14" s="151"/>
      <c r="T14" s="269"/>
      <c r="U14" s="151"/>
      <c r="V14" s="269"/>
      <c r="W14" s="151"/>
      <c r="X14" s="269"/>
      <c r="Y14" s="140"/>
    </row>
    <row r="15" spans="1:25" ht="15">
      <c r="A15" s="279" t="s">
        <v>521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269"/>
      <c r="S15" s="151"/>
      <c r="T15" s="269"/>
      <c r="U15" s="151"/>
      <c r="V15" s="269"/>
      <c r="W15" s="151"/>
      <c r="X15" s="269"/>
      <c r="Y15" s="140"/>
    </row>
    <row r="16" spans="1:25" ht="15">
      <c r="A16" s="279" t="s">
        <v>46</v>
      </c>
      <c r="B16" s="455">
        <v>0</v>
      </c>
      <c r="C16" s="151"/>
      <c r="D16" s="151">
        <v>0</v>
      </c>
      <c r="E16" s="151"/>
      <c r="F16" s="151">
        <v>0</v>
      </c>
      <c r="G16" s="151"/>
      <c r="H16" s="151">
        <v>0</v>
      </c>
      <c r="I16" s="151"/>
      <c r="J16" s="151">
        <v>0</v>
      </c>
      <c r="K16" s="151"/>
      <c r="L16" s="151">
        <v>0</v>
      </c>
      <c r="M16" s="151"/>
      <c r="N16" s="151">
        <v>0</v>
      </c>
      <c r="O16" s="151"/>
      <c r="P16" s="151">
        <v>0</v>
      </c>
      <c r="Q16" s="151"/>
      <c r="R16" s="269">
        <v>0</v>
      </c>
      <c r="S16" s="151"/>
      <c r="T16" s="269">
        <v>-442825</v>
      </c>
      <c r="U16" s="151"/>
      <c r="V16" s="269">
        <f>-T16</f>
        <v>442825</v>
      </c>
      <c r="W16" s="151"/>
      <c r="X16" s="269">
        <f>SUM(B16:V16)</f>
        <v>0</v>
      </c>
      <c r="Y16" s="140"/>
    </row>
    <row r="17" spans="1:25" ht="15">
      <c r="A17" s="279"/>
      <c r="B17" s="455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269"/>
      <c r="S17" s="151"/>
      <c r="T17" s="269"/>
      <c r="U17" s="151"/>
      <c r="V17" s="269"/>
      <c r="W17" s="151"/>
      <c r="X17" s="269"/>
      <c r="Y17" s="140"/>
    </row>
    <row r="18" spans="1:25" ht="15">
      <c r="A18" s="279" t="s">
        <v>0</v>
      </c>
      <c r="B18" s="455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269"/>
      <c r="S18" s="151"/>
      <c r="T18" s="269"/>
      <c r="U18" s="151"/>
      <c r="V18" s="269"/>
      <c r="W18" s="151"/>
      <c r="X18" s="269"/>
      <c r="Y18" s="140"/>
    </row>
    <row r="19" spans="1:25" ht="15">
      <c r="A19" s="279" t="s">
        <v>1</v>
      </c>
      <c r="B19" s="455">
        <v>0</v>
      </c>
      <c r="C19" s="151"/>
      <c r="D19" s="455">
        <v>0</v>
      </c>
      <c r="E19" s="151"/>
      <c r="F19" s="455">
        <v>0</v>
      </c>
      <c r="G19" s="151"/>
      <c r="H19" s="151">
        <v>0</v>
      </c>
      <c r="I19" s="151"/>
      <c r="J19" s="151">
        <v>0</v>
      </c>
      <c r="K19" s="151"/>
      <c r="L19" s="151">
        <v>0</v>
      </c>
      <c r="M19" s="151"/>
      <c r="N19" s="151">
        <v>0</v>
      </c>
      <c r="O19" s="151"/>
      <c r="P19" s="151">
        <v>0</v>
      </c>
      <c r="Q19" s="151"/>
      <c r="R19" s="270">
        <v>6440972</v>
      </c>
      <c r="S19" s="151"/>
      <c r="T19" s="270">
        <v>0</v>
      </c>
      <c r="U19" s="151"/>
      <c r="V19" s="270">
        <v>0</v>
      </c>
      <c r="W19" s="151"/>
      <c r="X19" s="270">
        <f>SUM(B19:V19)</f>
        <v>6440972</v>
      </c>
      <c r="Y19" s="140"/>
    </row>
    <row r="20" spans="2:25" ht="15">
      <c r="B20" s="455"/>
      <c r="C20" s="151"/>
      <c r="D20" s="455"/>
      <c r="E20" s="151"/>
      <c r="F20" s="455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40"/>
    </row>
    <row r="21" spans="1:25" ht="15">
      <c r="A21" s="371" t="s">
        <v>319</v>
      </c>
      <c r="B21" s="455"/>
      <c r="C21" s="151"/>
      <c r="D21" s="455"/>
      <c r="E21" s="151"/>
      <c r="F21" s="455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40"/>
    </row>
    <row r="22" spans="1:25" ht="15">
      <c r="A22" s="371" t="s">
        <v>320</v>
      </c>
      <c r="B22" s="455"/>
      <c r="C22" s="151"/>
      <c r="D22" s="455"/>
      <c r="E22" s="151"/>
      <c r="F22" s="455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>
        <f>SUM(R13:R19)</f>
        <v>6440972</v>
      </c>
      <c r="S22" s="151"/>
      <c r="T22" s="151">
        <f>SUM(T13:T19)</f>
        <v>-442825</v>
      </c>
      <c r="U22" s="151"/>
      <c r="V22" s="151">
        <f>SUM(V13:V19)</f>
        <v>31492060.526319996</v>
      </c>
      <c r="W22" s="151"/>
      <c r="X22" s="151">
        <f>SUM(X13:X19)</f>
        <v>37490207.526319996</v>
      </c>
      <c r="Y22" s="140"/>
    </row>
    <row r="23" spans="1:25" ht="15">
      <c r="A23" s="279"/>
      <c r="B23" s="455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40"/>
    </row>
    <row r="24" spans="1:25" ht="15">
      <c r="A24" s="279" t="s">
        <v>378</v>
      </c>
      <c r="B24" s="455">
        <v>0</v>
      </c>
      <c r="C24" s="151"/>
      <c r="D24" s="455">
        <v>0</v>
      </c>
      <c r="E24" s="151"/>
      <c r="F24" s="455">
        <v>0</v>
      </c>
      <c r="G24" s="151"/>
      <c r="H24" s="455">
        <v>0</v>
      </c>
      <c r="I24" s="151"/>
      <c r="J24" s="455">
        <v>0</v>
      </c>
      <c r="K24" s="151"/>
      <c r="L24" s="455">
        <v>0</v>
      </c>
      <c r="M24" s="151"/>
      <c r="N24" s="455">
        <v>0</v>
      </c>
      <c r="O24" s="151"/>
      <c r="P24" s="455">
        <v>0</v>
      </c>
      <c r="Q24" s="151"/>
      <c r="R24" s="455">
        <v>0</v>
      </c>
      <c r="S24" s="151"/>
      <c r="T24" s="455">
        <v>0</v>
      </c>
      <c r="U24" s="151"/>
      <c r="V24" s="151">
        <v>-10000</v>
      </c>
      <c r="W24" s="151"/>
      <c r="X24" s="151">
        <f>SUM(B24:V24)</f>
        <v>-10000</v>
      </c>
      <c r="Y24" s="140"/>
    </row>
    <row r="25" spans="1:25" ht="15">
      <c r="A25" s="279"/>
      <c r="B25" s="455"/>
      <c r="C25" s="151"/>
      <c r="D25" s="455"/>
      <c r="E25" s="151"/>
      <c r="F25" s="455"/>
      <c r="G25" s="151"/>
      <c r="H25" s="455"/>
      <c r="I25" s="151"/>
      <c r="J25" s="455"/>
      <c r="K25" s="151"/>
      <c r="L25" s="455"/>
      <c r="M25" s="151"/>
      <c r="N25" s="455"/>
      <c r="O25" s="151"/>
      <c r="P25" s="455"/>
      <c r="Q25" s="151"/>
      <c r="R25" s="455"/>
      <c r="S25" s="151"/>
      <c r="T25" s="455"/>
      <c r="U25" s="151"/>
      <c r="V25" s="151"/>
      <c r="W25" s="151"/>
      <c r="X25" s="151"/>
      <c r="Y25" s="140"/>
    </row>
    <row r="26" spans="1:25" ht="15">
      <c r="A26" s="279" t="s">
        <v>365</v>
      </c>
      <c r="B26" s="455">
        <v>0</v>
      </c>
      <c r="C26" s="151"/>
      <c r="D26" s="455">
        <v>0</v>
      </c>
      <c r="E26" s="151"/>
      <c r="F26" s="455">
        <v>0</v>
      </c>
      <c r="G26" s="151"/>
      <c r="H26" s="455">
        <v>0</v>
      </c>
      <c r="I26" s="151"/>
      <c r="J26" s="455">
        <v>0</v>
      </c>
      <c r="K26" s="151"/>
      <c r="L26" s="455">
        <v>0</v>
      </c>
      <c r="M26" s="151"/>
      <c r="N26" s="455">
        <v>0</v>
      </c>
      <c r="O26" s="151"/>
      <c r="P26" s="455">
        <v>0</v>
      </c>
      <c r="Q26" s="151"/>
      <c r="R26" s="455">
        <v>0</v>
      </c>
      <c r="S26" s="151"/>
      <c r="T26" s="455">
        <v>0</v>
      </c>
      <c r="U26" s="151"/>
      <c r="V26" s="151">
        <v>-21422061</v>
      </c>
      <c r="W26" s="151"/>
      <c r="X26" s="151">
        <f>SUM(B26:V26)</f>
        <v>-21422061</v>
      </c>
      <c r="Y26" s="140"/>
    </row>
    <row r="27" spans="1:25" ht="12" customHeight="1">
      <c r="A27" s="279"/>
      <c r="B27" s="267"/>
      <c r="C27" s="151"/>
      <c r="D27" s="267"/>
      <c r="E27" s="151"/>
      <c r="F27" s="267"/>
      <c r="G27" s="151"/>
      <c r="H27" s="267"/>
      <c r="I27" s="151"/>
      <c r="J27" s="267"/>
      <c r="K27" s="151"/>
      <c r="L27" s="267"/>
      <c r="M27" s="151"/>
      <c r="N27" s="267"/>
      <c r="O27" s="151"/>
      <c r="P27" s="267"/>
      <c r="Q27" s="151"/>
      <c r="R27" s="267"/>
      <c r="S27" s="151"/>
      <c r="T27" s="267"/>
      <c r="U27" s="151"/>
      <c r="V27" s="267"/>
      <c r="W27" s="151"/>
      <c r="X27" s="267"/>
      <c r="Y27" s="140"/>
    </row>
    <row r="28" spans="1:25" ht="15">
      <c r="A28" s="279" t="s">
        <v>227</v>
      </c>
      <c r="B28" s="151">
        <f>SUM(B9:B26)</f>
        <v>100000</v>
      </c>
      <c r="C28" s="151"/>
      <c r="D28" s="151">
        <f>SUM(D9:D26)</f>
        <v>1525958</v>
      </c>
      <c r="E28" s="151"/>
      <c r="F28" s="151">
        <f>SUM(F9:F26)</f>
        <v>5400000</v>
      </c>
      <c r="G28" s="151"/>
      <c r="H28" s="151">
        <f>SUM(H9:H26)</f>
        <v>2600000</v>
      </c>
      <c r="I28" s="151"/>
      <c r="J28" s="151">
        <f>SUM(J9:J26)</f>
        <v>1600000</v>
      </c>
      <c r="K28" s="151"/>
      <c r="L28" s="151">
        <f>SUM(L9:L26)</f>
        <v>1500000</v>
      </c>
      <c r="M28" s="151"/>
      <c r="N28" s="151">
        <f>SUM(N9:N26)</f>
        <v>900000</v>
      </c>
      <c r="O28" s="151"/>
      <c r="P28" s="151">
        <f>SUM(P9:P26)</f>
        <v>4700000</v>
      </c>
      <c r="Q28" s="151"/>
      <c r="R28" s="151">
        <f>R26+R24+R22+R9</f>
        <v>51646593</v>
      </c>
      <c r="S28" s="151"/>
      <c r="T28" s="151">
        <f>T26+T24+T22+T9</f>
        <v>6194503</v>
      </c>
      <c r="U28" s="151"/>
      <c r="V28" s="151">
        <f>V26+V24+V22+V9</f>
        <v>10059999.526319996</v>
      </c>
      <c r="W28" s="151"/>
      <c r="X28" s="151">
        <f>X26+X24+X22+X9</f>
        <v>86227053.52632</v>
      </c>
      <c r="Y28" s="140"/>
    </row>
    <row r="29" spans="1:25" ht="9.75" customHeight="1">
      <c r="A29" s="279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40"/>
    </row>
    <row r="30" spans="1:25" ht="15">
      <c r="A30" s="382" t="s">
        <v>321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40"/>
    </row>
    <row r="31" spans="1:25" ht="9.75" customHeight="1">
      <c r="A31" s="27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38"/>
    </row>
    <row r="32" spans="1:25" ht="15">
      <c r="A32" s="279" t="s">
        <v>495</v>
      </c>
      <c r="B32" s="151">
        <v>0</v>
      </c>
      <c r="C32" s="151"/>
      <c r="D32" s="151">
        <v>0</v>
      </c>
      <c r="E32" s="151"/>
      <c r="F32" s="151">
        <v>0</v>
      </c>
      <c r="G32" s="151"/>
      <c r="H32" s="151">
        <v>0</v>
      </c>
      <c r="I32" s="151"/>
      <c r="J32" s="151">
        <v>0</v>
      </c>
      <c r="K32" s="151"/>
      <c r="L32" s="151">
        <v>0</v>
      </c>
      <c r="M32" s="151"/>
      <c r="N32" s="151">
        <v>0</v>
      </c>
      <c r="O32" s="151"/>
      <c r="P32" s="151">
        <v>0</v>
      </c>
      <c r="Q32" s="151"/>
      <c r="R32" s="268">
        <v>0</v>
      </c>
      <c r="S32" s="151"/>
      <c r="T32" s="268">
        <v>0</v>
      </c>
      <c r="U32" s="151"/>
      <c r="V32" s="268">
        <f>'P AND L '!J35</f>
        <v>68183787.71510002</v>
      </c>
      <c r="W32" s="151"/>
      <c r="X32" s="268">
        <f>SUM(B32:V32)</f>
        <v>68183787.71510002</v>
      </c>
      <c r="Y32" s="140"/>
    </row>
    <row r="33" spans="1:25" ht="12" customHeight="1">
      <c r="A33" s="279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269"/>
      <c r="S33" s="151"/>
      <c r="T33" s="269"/>
      <c r="U33" s="151"/>
      <c r="V33" s="269"/>
      <c r="W33" s="151"/>
      <c r="X33" s="269"/>
      <c r="Y33" s="140"/>
    </row>
    <row r="34" spans="1:25" ht="15">
      <c r="A34" s="279" t="s">
        <v>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269"/>
      <c r="S34" s="151"/>
      <c r="T34" s="269"/>
      <c r="U34" s="151"/>
      <c r="V34" s="269"/>
      <c r="W34" s="151"/>
      <c r="X34" s="269"/>
      <c r="Y34" s="140"/>
    </row>
    <row r="35" spans="1:25" ht="15">
      <c r="A35" s="5" t="s">
        <v>3</v>
      </c>
      <c r="B35" s="151">
        <v>0</v>
      </c>
      <c r="C35" s="151"/>
      <c r="D35" s="151">
        <v>0</v>
      </c>
      <c r="E35" s="151"/>
      <c r="F35" s="151">
        <v>0</v>
      </c>
      <c r="G35" s="151"/>
      <c r="H35" s="151">
        <v>0</v>
      </c>
      <c r="I35" s="151"/>
      <c r="J35" s="151">
        <v>0</v>
      </c>
      <c r="K35" s="151"/>
      <c r="L35" s="151">
        <v>0</v>
      </c>
      <c r="M35" s="151"/>
      <c r="N35" s="151">
        <v>0</v>
      </c>
      <c r="O35" s="151"/>
      <c r="P35" s="151">
        <v>0</v>
      </c>
      <c r="Q35" s="151"/>
      <c r="R35" s="456">
        <v>0</v>
      </c>
      <c r="S35" s="151"/>
      <c r="T35" s="457">
        <f>'NOTE 17.3 - 20'!L6</f>
        <v>12552511</v>
      </c>
      <c r="U35" s="151"/>
      <c r="V35" s="269">
        <v>0</v>
      </c>
      <c r="W35" s="151"/>
      <c r="X35" s="269">
        <f>SUM(B35:V35)</f>
        <v>12552511</v>
      </c>
      <c r="Y35" s="140"/>
    </row>
    <row r="36" spans="1:25" ht="12" customHeight="1">
      <c r="A36" s="279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269"/>
      <c r="S36" s="151"/>
      <c r="T36" s="269"/>
      <c r="U36" s="151"/>
      <c r="V36" s="269"/>
      <c r="W36" s="151"/>
      <c r="X36" s="269"/>
      <c r="Y36" s="140"/>
    </row>
    <row r="37" spans="1:25" ht="15">
      <c r="A37" s="279" t="s">
        <v>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269"/>
      <c r="S37" s="151"/>
      <c r="T37" s="269"/>
      <c r="U37" s="151"/>
      <c r="V37" s="269"/>
      <c r="W37" s="151"/>
      <c r="X37" s="269"/>
      <c r="Y37" s="140"/>
    </row>
    <row r="38" spans="1:25" ht="15">
      <c r="A38" s="5" t="s">
        <v>1</v>
      </c>
      <c r="B38" s="151">
        <v>0</v>
      </c>
      <c r="C38" s="151"/>
      <c r="D38" s="151">
        <v>0</v>
      </c>
      <c r="E38" s="151"/>
      <c r="F38" s="151">
        <v>0</v>
      </c>
      <c r="G38" s="151"/>
      <c r="H38" s="151">
        <v>0</v>
      </c>
      <c r="I38" s="151"/>
      <c r="J38" s="151">
        <v>0</v>
      </c>
      <c r="K38" s="151"/>
      <c r="L38" s="151">
        <v>0</v>
      </c>
      <c r="M38" s="151"/>
      <c r="N38" s="151">
        <v>0</v>
      </c>
      <c r="O38" s="151"/>
      <c r="P38" s="151">
        <v>0</v>
      </c>
      <c r="Q38" s="151"/>
      <c r="R38" s="270">
        <f>'NOTE 5 - 6.5'!L7+'NOTE 13 - 17'!I13</f>
        <v>22760319</v>
      </c>
      <c r="S38" s="151"/>
      <c r="T38" s="270">
        <v>0</v>
      </c>
      <c r="U38" s="151"/>
      <c r="V38" s="270">
        <v>0</v>
      </c>
      <c r="W38" s="151"/>
      <c r="X38" s="270">
        <f>SUM(B38:V38)</f>
        <v>22760319</v>
      </c>
      <c r="Y38" s="140"/>
    </row>
    <row r="39" spans="1:25" ht="12" customHeight="1">
      <c r="A39" s="279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40"/>
    </row>
    <row r="40" spans="1:25" ht="15">
      <c r="A40" s="371" t="s">
        <v>319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40"/>
    </row>
    <row r="41" spans="1:25" ht="15">
      <c r="A41" s="371" t="s">
        <v>320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>
        <f>SUM(R32:R38)</f>
        <v>22760319</v>
      </c>
      <c r="S41" s="151"/>
      <c r="T41" s="151">
        <f>SUM(T32:T38)</f>
        <v>12552511</v>
      </c>
      <c r="U41" s="151"/>
      <c r="V41" s="151">
        <f>SUM(V32:V38)</f>
        <v>68183787.71510002</v>
      </c>
      <c r="W41" s="151"/>
      <c r="X41" s="151">
        <f>SUM(X32:X38)</f>
        <v>103496617.71510002</v>
      </c>
      <c r="Y41" s="140"/>
    </row>
    <row r="42" spans="1:25" ht="12" customHeight="1">
      <c r="A42" s="279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40"/>
    </row>
    <row r="43" spans="1:25" ht="15">
      <c r="A43" s="279" t="s">
        <v>378</v>
      </c>
      <c r="B43" s="151">
        <v>0</v>
      </c>
      <c r="C43" s="151"/>
      <c r="D43" s="151">
        <v>0</v>
      </c>
      <c r="E43" s="151"/>
      <c r="F43" s="151">
        <v>0</v>
      </c>
      <c r="G43" s="151"/>
      <c r="H43" s="151">
        <v>0</v>
      </c>
      <c r="I43" s="151"/>
      <c r="J43" s="151">
        <v>0</v>
      </c>
      <c r="K43" s="151"/>
      <c r="L43" s="151">
        <v>0</v>
      </c>
      <c r="M43" s="151"/>
      <c r="N43" s="151">
        <v>0</v>
      </c>
      <c r="O43" s="151"/>
      <c r="P43" s="151">
        <v>0</v>
      </c>
      <c r="Q43" s="151"/>
      <c r="R43" s="151">
        <v>0</v>
      </c>
      <c r="S43" s="151"/>
      <c r="T43" s="151">
        <v>0</v>
      </c>
      <c r="U43" s="151"/>
      <c r="V43" s="151">
        <v>-10000</v>
      </c>
      <c r="W43" s="151"/>
      <c r="X43" s="151">
        <f>SUM(B43:V43)</f>
        <v>-10000</v>
      </c>
      <c r="Y43" s="140"/>
    </row>
    <row r="44" spans="1:25" ht="12" customHeight="1">
      <c r="A44" s="279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40"/>
    </row>
    <row r="45" spans="1:25" ht="15">
      <c r="A45" s="279" t="s">
        <v>392</v>
      </c>
      <c r="B45" s="151">
        <v>0</v>
      </c>
      <c r="C45" s="151"/>
      <c r="D45" s="151">
        <v>0</v>
      </c>
      <c r="E45" s="151"/>
      <c r="F45" s="151">
        <v>10000000</v>
      </c>
      <c r="G45" s="151"/>
      <c r="H45" s="151">
        <v>0</v>
      </c>
      <c r="I45" s="151"/>
      <c r="J45" s="151">
        <v>0</v>
      </c>
      <c r="K45" s="151"/>
      <c r="L45" s="151">
        <v>0</v>
      </c>
      <c r="M45" s="151"/>
      <c r="N45" s="151">
        <v>0</v>
      </c>
      <c r="O45" s="151"/>
      <c r="P45" s="151">
        <v>0</v>
      </c>
      <c r="Q45" s="151"/>
      <c r="R45" s="151">
        <f>'NOTE 5 - 6.5'!L9+'NOTE 13 - 17'!I15</f>
        <v>0</v>
      </c>
      <c r="S45" s="151"/>
      <c r="T45" s="151">
        <v>0</v>
      </c>
      <c r="U45" s="151"/>
      <c r="V45" s="151">
        <v>-10000000</v>
      </c>
      <c r="W45" s="151"/>
      <c r="X45" s="151">
        <f>SUM(B45:V45)</f>
        <v>0</v>
      </c>
      <c r="Y45" s="140"/>
    </row>
    <row r="46" spans="1:25" ht="15">
      <c r="A46" s="279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40"/>
    </row>
    <row r="47" spans="1:25" ht="15">
      <c r="A47" s="279" t="s">
        <v>365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>
        <v>-49091788</v>
      </c>
      <c r="W47" s="151"/>
      <c r="X47" s="151">
        <f>SUM(B47:V47)</f>
        <v>-49091788</v>
      </c>
      <c r="Y47" s="140"/>
    </row>
    <row r="48" spans="1:25" ht="12" customHeight="1">
      <c r="A48" s="279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40"/>
    </row>
    <row r="49" spans="1:27" ht="15.75" thickBot="1">
      <c r="A49" s="279" t="s">
        <v>358</v>
      </c>
      <c r="B49" s="271">
        <f>SUM(B28:B45)</f>
        <v>100000</v>
      </c>
      <c r="C49" s="151"/>
      <c r="D49" s="271">
        <f>SUM(D28:D45)</f>
        <v>1525958</v>
      </c>
      <c r="E49" s="151"/>
      <c r="F49" s="271">
        <f>SUM(F28:F45)</f>
        <v>15400000</v>
      </c>
      <c r="G49" s="151"/>
      <c r="H49" s="271">
        <f>SUM(H28:H45)</f>
        <v>2600000</v>
      </c>
      <c r="I49" s="151"/>
      <c r="J49" s="271">
        <f>SUM(J28:J45)</f>
        <v>1600000</v>
      </c>
      <c r="K49" s="151"/>
      <c r="L49" s="271">
        <f>SUM(L28:L45)</f>
        <v>1500000</v>
      </c>
      <c r="M49" s="151"/>
      <c r="N49" s="271">
        <f>SUM(N28:N45)</f>
        <v>900000</v>
      </c>
      <c r="O49" s="151"/>
      <c r="P49" s="271">
        <f>SUM(P28:P45)</f>
        <v>4700000</v>
      </c>
      <c r="Q49" s="151"/>
      <c r="R49" s="271">
        <f>R41+R28</f>
        <v>74406912</v>
      </c>
      <c r="S49" s="151"/>
      <c r="T49" s="271">
        <f>T41+T28</f>
        <v>18747014</v>
      </c>
      <c r="U49" s="145"/>
      <c r="V49" s="271">
        <f>V45+V41+V28+1+V43+V47</f>
        <v>19142000.241420016</v>
      </c>
      <c r="W49" s="56" t="s">
        <v>49</v>
      </c>
      <c r="X49" s="271">
        <f>X45+X41+X28+1+X43+X47</f>
        <v>140621884.24142003</v>
      </c>
      <c r="Y49" s="140"/>
      <c r="Z49" s="29"/>
      <c r="AA49" s="29"/>
    </row>
    <row r="50" spans="1:25" ht="12" customHeight="1" thickTop="1">
      <c r="A50" s="1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44"/>
      <c r="Y50" s="347"/>
    </row>
    <row r="51" spans="1:25" ht="6" customHeight="1">
      <c r="A51" s="1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44"/>
      <c r="Y51" s="347"/>
    </row>
    <row r="52" spans="1:25" ht="15">
      <c r="A52" s="5" t="s">
        <v>507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140"/>
    </row>
    <row r="53" spans="1:25" ht="15">
      <c r="A53" s="5" t="str">
        <f>'BS-ISS'!A34</f>
        <v>The annexed notes 1 to 53 form an integral part of these financial statements.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140"/>
    </row>
    <row r="54" spans="1:25" ht="10.5" customHeight="1">
      <c r="A54" s="10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40"/>
    </row>
    <row r="55" spans="1:25" ht="15">
      <c r="A55" s="15" t="s">
        <v>245</v>
      </c>
      <c r="B55" s="44"/>
      <c r="C55" s="56"/>
      <c r="D55" s="56"/>
      <c r="E55" s="56"/>
      <c r="F55" s="56"/>
      <c r="G55" s="56"/>
      <c r="H55" s="56"/>
      <c r="I55" s="56"/>
      <c r="J55" s="15" t="s">
        <v>775</v>
      </c>
      <c r="K55" s="56"/>
      <c r="L55" s="44"/>
      <c r="M55" s="44"/>
      <c r="N55" s="44"/>
      <c r="O55" s="56"/>
      <c r="P55" s="56"/>
      <c r="Q55" s="35"/>
      <c r="R55" s="32"/>
      <c r="S55" s="44"/>
      <c r="T55" s="32" t="s">
        <v>717</v>
      </c>
      <c r="U55" s="35"/>
      <c r="V55" s="56"/>
      <c r="W55" s="35"/>
      <c r="X55" s="35"/>
      <c r="Y55" s="140"/>
    </row>
    <row r="56" spans="1:25" ht="15">
      <c r="A56" s="15" t="s">
        <v>93</v>
      </c>
      <c r="B56" s="44"/>
      <c r="C56" s="56"/>
      <c r="D56" s="56"/>
      <c r="E56" s="56"/>
      <c r="F56" s="56"/>
      <c r="G56" s="56"/>
      <c r="H56" s="56"/>
      <c r="I56" s="56"/>
      <c r="J56" s="15" t="s">
        <v>716</v>
      </c>
      <c r="K56" s="56"/>
      <c r="L56" s="44"/>
      <c r="M56" s="44"/>
      <c r="N56" s="44"/>
      <c r="O56" s="56"/>
      <c r="P56" s="44"/>
      <c r="Q56" s="44"/>
      <c r="R56" s="31"/>
      <c r="S56" s="44"/>
      <c r="T56" s="32" t="s">
        <v>718</v>
      </c>
      <c r="U56" s="35"/>
      <c r="V56" s="56"/>
      <c r="W56" s="35"/>
      <c r="X56" s="35"/>
      <c r="Y56" s="140"/>
    </row>
    <row r="57" spans="1:25" ht="15">
      <c r="A57" s="1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40"/>
    </row>
    <row r="58" spans="1:25" ht="15">
      <c r="A58" s="1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140"/>
    </row>
    <row r="59" spans="1:25" ht="15">
      <c r="A59" s="10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40"/>
    </row>
    <row r="60" spans="1:25" ht="15">
      <c r="A60" s="10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40"/>
    </row>
    <row r="61" spans="1:25" ht="15">
      <c r="A61" s="1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40"/>
    </row>
    <row r="62" spans="1:25" ht="17.25">
      <c r="A62" s="10"/>
      <c r="B62" s="35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140"/>
    </row>
  </sheetData>
  <mergeCells count="8">
    <mergeCell ref="X6:X7"/>
    <mergeCell ref="B6:B7"/>
    <mergeCell ref="D6:D7"/>
    <mergeCell ref="E6:Q6"/>
    <mergeCell ref="R6:R7"/>
    <mergeCell ref="S6:S7"/>
    <mergeCell ref="T6:T7"/>
    <mergeCell ref="V6:V7"/>
  </mergeCells>
  <printOptions horizontalCentered="1" verticalCentered="1"/>
  <pageMargins left="0.5" right="0.52" top="0.43" bottom="0.25" header="0.5" footer="0.6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51"/>
  <sheetViews>
    <sheetView view="pageBreakPreview" zoomScaleSheetLayoutView="100" workbookViewId="0" topLeftCell="A1">
      <selection activeCell="F49" sqref="F49"/>
    </sheetView>
  </sheetViews>
  <sheetFormatPr defaultColWidth="9.140625" defaultRowHeight="12.75"/>
  <cols>
    <col min="1" max="1" width="4.7109375" style="5" customWidth="1"/>
    <col min="2" max="2" width="3.7109375" style="5" customWidth="1"/>
    <col min="3" max="3" width="6.28125" style="5" customWidth="1"/>
    <col min="4" max="4" width="25.7109375" style="5" customWidth="1"/>
    <col min="5" max="5" width="4.28125" style="5" customWidth="1"/>
    <col min="6" max="6" width="5.00390625" style="5" customWidth="1"/>
    <col min="7" max="7" width="1.8515625" style="5" customWidth="1"/>
    <col min="8" max="8" width="9.28125" style="5" hidden="1" customWidth="1"/>
    <col min="9" max="9" width="0.71875" style="5" customWidth="1"/>
    <col min="10" max="10" width="11.7109375" style="5" customWidth="1"/>
    <col min="11" max="11" width="0.85546875" style="5" customWidth="1"/>
    <col min="12" max="12" width="14.28125" style="43" customWidth="1"/>
    <col min="13" max="13" width="1.28515625" style="29" customWidth="1"/>
    <col min="14" max="14" width="14.28125" style="29" customWidth="1"/>
    <col min="15" max="15" width="1.7109375" style="5" customWidth="1"/>
    <col min="16" max="16" width="0.71875" style="5" customWidth="1"/>
    <col min="17" max="17" width="16.421875" style="5" customWidth="1"/>
    <col min="18" max="16384" width="7.57421875" style="5" customWidth="1"/>
  </cols>
  <sheetData>
    <row r="1" spans="10:14" ht="15">
      <c r="J1" s="502" t="s">
        <v>978</v>
      </c>
      <c r="L1" s="30" t="s">
        <v>586</v>
      </c>
      <c r="N1" s="54" t="s">
        <v>33</v>
      </c>
    </row>
    <row r="2" spans="6:14" ht="15">
      <c r="F2" s="12"/>
      <c r="J2" s="502"/>
      <c r="L2" s="501" t="s">
        <v>832</v>
      </c>
      <c r="M2" s="501"/>
      <c r="N2" s="501"/>
    </row>
    <row r="3" spans="1:14" ht="16.5" customHeight="1">
      <c r="A3" s="67" t="s">
        <v>834</v>
      </c>
      <c r="B3" s="6" t="s">
        <v>149</v>
      </c>
      <c r="J3" s="502"/>
      <c r="L3" s="159"/>
      <c r="M3" s="159"/>
      <c r="N3" s="159"/>
    </row>
    <row r="4" spans="5:14" ht="8.25" customHeight="1">
      <c r="E4" s="9"/>
      <c r="J4" s="9"/>
      <c r="K4" s="9"/>
      <c r="L4" s="32"/>
      <c r="N4" s="32"/>
    </row>
    <row r="5" spans="2:14" ht="15">
      <c r="B5" s="5" t="s">
        <v>979</v>
      </c>
      <c r="E5" s="16"/>
      <c r="J5" s="142">
        <v>2064910</v>
      </c>
      <c r="K5" s="61"/>
      <c r="L5" s="142">
        <f>N8</f>
        <v>53870004</v>
      </c>
      <c r="M5" s="146"/>
      <c r="N5" s="146">
        <v>47532115</v>
      </c>
    </row>
    <row r="6" spans="2:17" ht="15">
      <c r="B6" s="22" t="s">
        <v>941</v>
      </c>
      <c r="C6" s="22"/>
      <c r="D6" s="22"/>
      <c r="E6" s="16"/>
      <c r="J6" s="142">
        <v>1444</v>
      </c>
      <c r="K6" s="61"/>
      <c r="L6" s="142">
        <v>51195</v>
      </c>
      <c r="M6" s="146"/>
      <c r="N6" s="146">
        <v>0</v>
      </c>
      <c r="Q6" s="29"/>
    </row>
    <row r="7" spans="2:14" ht="15">
      <c r="B7" s="66" t="s">
        <v>829</v>
      </c>
      <c r="C7" s="73"/>
      <c r="D7" s="73"/>
      <c r="E7" s="73"/>
      <c r="F7" s="90">
        <v>33</v>
      </c>
      <c r="J7" s="142">
        <v>0</v>
      </c>
      <c r="K7" s="61"/>
      <c r="L7" s="143">
        <v>22396096</v>
      </c>
      <c r="M7" s="146"/>
      <c r="N7" s="123">
        <v>6337889</v>
      </c>
    </row>
    <row r="8" spans="5:14" ht="15.75" thickBot="1">
      <c r="E8" s="17"/>
      <c r="J8" s="264">
        <f>SUM(J5:J7)</f>
        <v>2066354</v>
      </c>
      <c r="K8" s="61"/>
      <c r="L8" s="264">
        <f>SUM(L5:L7)</f>
        <v>76317295</v>
      </c>
      <c r="M8" s="146"/>
      <c r="N8" s="271">
        <f>SUM(N5:N7)</f>
        <v>53870004</v>
      </c>
    </row>
    <row r="9" spans="10:14" ht="15.75" thickTop="1">
      <c r="J9" s="61"/>
      <c r="K9" s="61"/>
      <c r="L9" s="142"/>
      <c r="M9" s="146"/>
      <c r="N9" s="142"/>
    </row>
    <row r="10" spans="1:14" ht="15">
      <c r="A10" s="67" t="s">
        <v>785</v>
      </c>
      <c r="B10" s="6" t="s">
        <v>150</v>
      </c>
      <c r="J10" s="61"/>
      <c r="K10" s="61"/>
      <c r="L10" s="142"/>
      <c r="M10" s="146"/>
      <c r="N10" s="146"/>
    </row>
    <row r="11" spans="1:15" ht="7.5" customHeight="1">
      <c r="A11" s="6"/>
      <c r="B11" s="6"/>
      <c r="J11" s="61"/>
      <c r="K11" s="61"/>
      <c r="L11" s="142"/>
      <c r="M11" s="142"/>
      <c r="N11" s="146"/>
      <c r="O11" s="15"/>
    </row>
    <row r="12" spans="2:14" ht="15">
      <c r="B12" s="5" t="s">
        <v>672</v>
      </c>
      <c r="F12" s="12" t="s">
        <v>267</v>
      </c>
      <c r="J12" s="61"/>
      <c r="K12" s="61"/>
      <c r="L12" s="145">
        <f>L28</f>
        <v>196420546</v>
      </c>
      <c r="M12" s="146"/>
      <c r="N12" s="151">
        <v>180148679</v>
      </c>
    </row>
    <row r="13" spans="1:15" ht="15">
      <c r="A13" s="6"/>
      <c r="B13" s="5" t="s">
        <v>479</v>
      </c>
      <c r="F13" s="40" t="s">
        <v>268</v>
      </c>
      <c r="J13" s="61"/>
      <c r="K13" s="61"/>
      <c r="L13" s="142">
        <v>490545283</v>
      </c>
      <c r="M13" s="146"/>
      <c r="N13" s="151">
        <v>424007949</v>
      </c>
      <c r="O13" s="15"/>
    </row>
    <row r="14" spans="2:14" ht="15">
      <c r="B14" s="5" t="s">
        <v>478</v>
      </c>
      <c r="F14" s="40" t="s">
        <v>269</v>
      </c>
      <c r="J14" s="61"/>
      <c r="K14" s="61"/>
      <c r="L14" s="142">
        <v>2915208</v>
      </c>
      <c r="M14" s="146"/>
      <c r="N14" s="151">
        <f>7870473+4507185</f>
        <v>12377658</v>
      </c>
    </row>
    <row r="15" spans="4:14" ht="15.75" thickBot="1">
      <c r="D15" s="20"/>
      <c r="J15" s="61"/>
      <c r="K15" s="61"/>
      <c r="L15" s="264">
        <f>SUM(L12:L14)</f>
        <v>689881037</v>
      </c>
      <c r="M15" s="146"/>
      <c r="N15" s="271">
        <f>SUM(N12:N14)</f>
        <v>616534286</v>
      </c>
    </row>
    <row r="16" spans="3:14" ht="15.75" thickTop="1">
      <c r="C16" s="6"/>
      <c r="J16" s="61"/>
      <c r="K16" s="61"/>
      <c r="L16" s="145"/>
      <c r="M16" s="146"/>
      <c r="N16" s="145"/>
    </row>
    <row r="17" spans="2:14" ht="15">
      <c r="B17" s="5" t="s">
        <v>205</v>
      </c>
      <c r="J17" s="61"/>
      <c r="K17" s="61"/>
      <c r="L17" s="145"/>
      <c r="M17" s="146"/>
      <c r="N17" s="145"/>
    </row>
    <row r="18" spans="10:14" ht="15">
      <c r="J18" s="61"/>
      <c r="K18" s="61"/>
      <c r="L18" s="142"/>
      <c r="M18" s="146"/>
      <c r="N18" s="146"/>
    </row>
    <row r="19" spans="2:14" ht="15">
      <c r="B19" s="20" t="s">
        <v>640</v>
      </c>
      <c r="D19" s="20"/>
      <c r="J19" s="94"/>
      <c r="K19" s="61"/>
      <c r="L19" s="142">
        <v>555312089</v>
      </c>
      <c r="M19" s="146"/>
      <c r="N19" s="146">
        <f>472513815</f>
        <v>472513815</v>
      </c>
    </row>
    <row r="20" spans="2:14" ht="15">
      <c r="B20" s="20" t="s">
        <v>641</v>
      </c>
      <c r="D20" s="20"/>
      <c r="J20" s="94"/>
      <c r="K20" s="61"/>
      <c r="L20" s="142">
        <f>'[1]Balance sheet'!$H$9</f>
        <v>134568947.72729</v>
      </c>
      <c r="M20" s="146"/>
      <c r="N20" s="146">
        <f>139513286+4507185</f>
        <v>144020471</v>
      </c>
    </row>
    <row r="21" spans="10:14" ht="15.75" thickBot="1">
      <c r="J21" s="61"/>
      <c r="K21" s="61"/>
      <c r="L21" s="264">
        <f>SUM(L19:L20)</f>
        <v>689881036.72729</v>
      </c>
      <c r="M21" s="146"/>
      <c r="N21" s="271">
        <f>SUM(N19:N20)</f>
        <v>616534286</v>
      </c>
    </row>
    <row r="22" spans="10:14" ht="15.75" thickTop="1">
      <c r="J22" s="61"/>
      <c r="K22" s="61"/>
      <c r="L22" s="145"/>
      <c r="M22" s="146"/>
      <c r="N22" s="151"/>
    </row>
    <row r="23" spans="1:14" ht="15">
      <c r="A23" s="72" t="s">
        <v>272</v>
      </c>
      <c r="B23" s="6" t="s">
        <v>672</v>
      </c>
      <c r="J23" s="61"/>
      <c r="K23" s="61"/>
      <c r="L23" s="145"/>
      <c r="M23" s="146"/>
      <c r="N23" s="151"/>
    </row>
    <row r="24" spans="10:14" ht="9" customHeight="1">
      <c r="J24" s="61"/>
      <c r="K24" s="61"/>
      <c r="L24" s="145"/>
      <c r="M24" s="146"/>
      <c r="N24" s="151"/>
    </row>
    <row r="25" spans="2:14" ht="15">
      <c r="B25" s="5" t="s">
        <v>685</v>
      </c>
      <c r="F25" s="40" t="s">
        <v>270</v>
      </c>
      <c r="J25" s="61"/>
      <c r="K25" s="61"/>
      <c r="L25" s="145">
        <v>194750943</v>
      </c>
      <c r="M25" s="146"/>
      <c r="N25" s="151">
        <v>178482597</v>
      </c>
    </row>
    <row r="26" spans="2:14" ht="15">
      <c r="B26" s="5" t="s">
        <v>686</v>
      </c>
      <c r="F26" s="40" t="s">
        <v>271</v>
      </c>
      <c r="J26" s="61"/>
      <c r="K26" s="61"/>
      <c r="L26" s="145">
        <v>1497334</v>
      </c>
      <c r="M26" s="146"/>
      <c r="N26" s="151">
        <v>1484500</v>
      </c>
    </row>
    <row r="27" spans="2:14" ht="15">
      <c r="B27" s="5" t="s">
        <v>687</v>
      </c>
      <c r="J27" s="61"/>
      <c r="K27" s="61"/>
      <c r="L27" s="145">
        <v>172269</v>
      </c>
      <c r="M27" s="146"/>
      <c r="N27" s="151">
        <v>181582</v>
      </c>
    </row>
    <row r="28" spans="2:14" ht="15.75" thickBot="1">
      <c r="B28" s="11"/>
      <c r="J28" s="61"/>
      <c r="K28" s="61"/>
      <c r="L28" s="264">
        <f>SUM(L25:L27)</f>
        <v>196420546</v>
      </c>
      <c r="M28" s="146"/>
      <c r="N28" s="271">
        <f>SUM(N25:N27)</f>
        <v>180148679</v>
      </c>
    </row>
    <row r="29" spans="2:14" ht="15.75" thickTop="1">
      <c r="B29" s="11"/>
      <c r="J29" s="19"/>
      <c r="K29" s="19"/>
      <c r="L29" s="104"/>
      <c r="M29" s="153"/>
      <c r="N29" s="42"/>
    </row>
    <row r="30" spans="1:15" ht="15" customHeight="1">
      <c r="A30" s="72" t="s">
        <v>273</v>
      </c>
      <c r="B30" s="66" t="s">
        <v>254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7"/>
    </row>
    <row r="31" spans="1:15" ht="15">
      <c r="A31" s="72"/>
      <c r="B31" s="66" t="s">
        <v>255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17"/>
    </row>
    <row r="32" spans="1:15" ht="15">
      <c r="A32" s="72"/>
      <c r="B32" s="66" t="s">
        <v>256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7"/>
    </row>
    <row r="33" spans="1:15" ht="9.75" customHeight="1">
      <c r="A33" s="7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7"/>
    </row>
    <row r="34" spans="1:15" ht="15">
      <c r="A34" s="72" t="s">
        <v>274</v>
      </c>
      <c r="B34" s="66" t="s">
        <v>764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7"/>
    </row>
    <row r="35" spans="1:15" ht="15">
      <c r="A35" s="72"/>
      <c r="B35" s="66" t="s">
        <v>879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7"/>
    </row>
    <row r="36" spans="1:15" ht="9.75" customHeight="1">
      <c r="A36" s="7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7"/>
    </row>
    <row r="37" spans="1:15" ht="15">
      <c r="A37" s="72" t="s">
        <v>270</v>
      </c>
      <c r="B37" s="5" t="s">
        <v>589</v>
      </c>
      <c r="L37" s="15"/>
      <c r="M37" s="15"/>
      <c r="N37" s="15"/>
      <c r="O37" s="17"/>
    </row>
    <row r="38" spans="1:15" ht="15">
      <c r="A38" s="72"/>
      <c r="B38" s="5" t="s">
        <v>496</v>
      </c>
      <c r="L38" s="15"/>
      <c r="M38" s="15"/>
      <c r="N38" s="15"/>
      <c r="O38" s="17"/>
    </row>
    <row r="39" spans="1:15" ht="15">
      <c r="A39" s="22"/>
      <c r="B39" s="5" t="s">
        <v>497</v>
      </c>
      <c r="L39" s="15"/>
      <c r="M39" s="15"/>
      <c r="N39" s="15"/>
      <c r="O39" s="10"/>
    </row>
    <row r="40" spans="1:15" ht="9.75" customHeight="1">
      <c r="A40" s="67"/>
      <c r="B40" s="6"/>
      <c r="L40" s="32"/>
      <c r="M40" s="32"/>
      <c r="N40" s="32"/>
      <c r="O40" s="10"/>
    </row>
    <row r="41" spans="1:15" ht="15">
      <c r="A41" s="72" t="s">
        <v>271</v>
      </c>
      <c r="B41" s="5" t="s">
        <v>498</v>
      </c>
      <c r="L41" s="32"/>
      <c r="M41" s="32"/>
      <c r="N41" s="32"/>
      <c r="O41" s="10"/>
    </row>
    <row r="42" spans="1:15" ht="15">
      <c r="A42" s="22"/>
      <c r="L42" s="32"/>
      <c r="M42" s="32"/>
      <c r="N42" s="32"/>
      <c r="O42" s="10"/>
    </row>
    <row r="43" spans="1:17" ht="15">
      <c r="A43" s="22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161"/>
      <c r="M43" s="161"/>
      <c r="N43" s="161"/>
      <c r="O43" s="108"/>
      <c r="P43" s="94"/>
      <c r="Q43" s="94"/>
    </row>
    <row r="44" spans="1:17" ht="15">
      <c r="A44" s="2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5"/>
      <c r="M44" s="55"/>
      <c r="N44" s="5"/>
      <c r="O44" s="108"/>
      <c r="P44" s="94"/>
      <c r="Q44" s="94"/>
    </row>
    <row r="45" spans="1:17" ht="15">
      <c r="A45" s="22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5"/>
      <c r="M45" s="55"/>
      <c r="N45" s="5"/>
      <c r="O45" s="108"/>
      <c r="P45" s="94"/>
      <c r="Q45" s="94"/>
    </row>
    <row r="46" spans="1:17" ht="15">
      <c r="A46" s="2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5"/>
      <c r="M46" s="47"/>
      <c r="N46" s="5"/>
      <c r="O46" s="108"/>
      <c r="P46" s="94"/>
      <c r="Q46" s="94"/>
    </row>
    <row r="47" ht="16.5" customHeight="1" hidden="1">
      <c r="A47" s="72"/>
    </row>
    <row r="48" spans="14:15" ht="15">
      <c r="N48" s="500"/>
      <c r="O48" s="500"/>
    </row>
    <row r="49" ht="26.25" customHeight="1"/>
    <row r="51" ht="15">
      <c r="J51" s="36"/>
    </row>
  </sheetData>
  <mergeCells count="3">
    <mergeCell ref="N48:O48"/>
    <mergeCell ref="L2:N2"/>
    <mergeCell ref="J1:J3"/>
  </mergeCells>
  <printOptions/>
  <pageMargins left="0.75" right="0.5" top="1" bottom="1" header="0.5" footer="0.5"/>
  <pageSetup fitToHeight="1" fitToWidth="1" horizontalDpi="600" verticalDpi="600" orientation="portrait" paperSize="9" scale="96" r:id="rId1"/>
  <rowBreaks count="1" manualBreakCount="1">
    <brk id="4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9"/>
  <sheetViews>
    <sheetView zoomScaleSheetLayoutView="100" workbookViewId="0" topLeftCell="A1">
      <selection activeCell="F59" sqref="F59"/>
    </sheetView>
  </sheetViews>
  <sheetFormatPr defaultColWidth="9.140625" defaultRowHeight="12.75"/>
  <cols>
    <col min="1" max="1" width="4.7109375" style="5" customWidth="1"/>
    <col min="2" max="2" width="1.8515625" style="5" customWidth="1"/>
    <col min="3" max="3" width="6.28125" style="5" customWidth="1"/>
    <col min="4" max="5" width="7.57421875" style="5" customWidth="1"/>
    <col min="6" max="6" width="12.7109375" style="5" customWidth="1"/>
    <col min="7" max="7" width="3.421875" style="5" customWidth="1"/>
    <col min="8" max="8" width="2.7109375" style="5" customWidth="1"/>
    <col min="9" max="9" width="7.7109375" style="135" customWidth="1"/>
    <col min="10" max="10" width="0.85546875" style="5" customWidth="1"/>
    <col min="11" max="11" width="15.7109375" style="43" customWidth="1"/>
    <col min="12" max="12" width="0.85546875" style="43" customWidth="1"/>
    <col min="13" max="13" width="1.7109375" style="29" customWidth="1"/>
    <col min="14" max="14" width="0.85546875" style="29" customWidth="1"/>
    <col min="15" max="15" width="15.7109375" style="29" customWidth="1"/>
    <col min="16" max="16" width="0.85546875" style="5" customWidth="1"/>
    <col min="17" max="17" width="0.71875" style="5" customWidth="1"/>
    <col min="18" max="18" width="14.00390625" style="5" bestFit="1" customWidth="1"/>
    <col min="19" max="19" width="9.140625" style="5" customWidth="1"/>
    <col min="20" max="20" width="10.140625" style="5" customWidth="1"/>
    <col min="21" max="16384" width="7.57421875" style="5" customWidth="1"/>
  </cols>
  <sheetData>
    <row r="1" spans="1:2" ht="15">
      <c r="A1" s="67" t="s">
        <v>927</v>
      </c>
      <c r="B1" s="6" t="s">
        <v>376</v>
      </c>
    </row>
    <row r="2" spans="1:2" ht="15">
      <c r="A2" s="67"/>
      <c r="B2" s="6" t="s">
        <v>61</v>
      </c>
    </row>
    <row r="3" ht="8.25" customHeight="1">
      <c r="A3" s="22"/>
    </row>
    <row r="4" spans="1:15" ht="15" customHeight="1">
      <c r="A4" s="22"/>
      <c r="B4" s="66" t="s">
        <v>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">
      <c r="A5" s="22"/>
      <c r="B5" s="170" t="s">
        <v>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>
      <c r="A6" s="22"/>
      <c r="B6" s="170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22"/>
      <c r="B7" s="66" t="s">
        <v>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">
      <c r="A8" s="22"/>
      <c r="B8" s="66" t="s">
        <v>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5">
      <c r="A9" s="22"/>
      <c r="B9" s="66" t="s">
        <v>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4" ht="9.75" customHeight="1">
      <c r="A10" s="22"/>
      <c r="B10" s="125"/>
      <c r="C10" s="125"/>
      <c r="D10" s="125"/>
    </row>
    <row r="11" spans="1:15" ht="15">
      <c r="A11" s="22"/>
      <c r="B11" s="66" t="s">
        <v>499</v>
      </c>
      <c r="C11" s="66"/>
      <c r="D11" s="66"/>
      <c r="K11" s="30" t="s">
        <v>586</v>
      </c>
      <c r="L11" s="32"/>
      <c r="O11" s="54" t="s">
        <v>33</v>
      </c>
    </row>
    <row r="12" spans="1:15" ht="15">
      <c r="A12" s="22"/>
      <c r="B12" s="66"/>
      <c r="C12" s="66"/>
      <c r="D12" s="66"/>
      <c r="K12" s="504" t="s">
        <v>832</v>
      </c>
      <c r="L12" s="504"/>
      <c r="M12" s="504"/>
      <c r="N12" s="504"/>
      <c r="O12" s="504"/>
    </row>
    <row r="13" spans="1:15" ht="9.75" customHeight="1">
      <c r="A13" s="22"/>
      <c r="B13" s="66"/>
      <c r="C13" s="66"/>
      <c r="D13" s="66"/>
      <c r="K13" s="55"/>
      <c r="L13" s="55"/>
      <c r="M13" s="55"/>
      <c r="N13" s="55"/>
      <c r="O13" s="55"/>
    </row>
    <row r="14" spans="1:15" ht="15">
      <c r="A14" s="22"/>
      <c r="B14" s="66" t="s">
        <v>145</v>
      </c>
      <c r="C14" s="66"/>
      <c r="D14" s="66"/>
      <c r="K14" s="142">
        <v>12035520</v>
      </c>
      <c r="L14" s="413"/>
      <c r="M14" s="414"/>
      <c r="N14" s="414"/>
      <c r="O14" s="146">
        <v>11794613</v>
      </c>
    </row>
    <row r="15" spans="1:15" ht="15">
      <c r="A15" s="22"/>
      <c r="B15" s="66" t="s">
        <v>146</v>
      </c>
      <c r="C15" s="66"/>
      <c r="D15" s="66"/>
      <c r="K15" s="142">
        <v>1088559</v>
      </c>
      <c r="L15" s="413"/>
      <c r="M15" s="414"/>
      <c r="N15" s="414"/>
      <c r="O15" s="146">
        <v>1774629</v>
      </c>
    </row>
    <row r="16" spans="11:15" ht="15.75" thickBot="1">
      <c r="K16" s="264">
        <f>SUM(K14:K15)</f>
        <v>13124079</v>
      </c>
      <c r="L16" s="413"/>
      <c r="M16" s="414"/>
      <c r="N16" s="414"/>
      <c r="O16" s="271">
        <f>SUM(O14:O15)</f>
        <v>13569242</v>
      </c>
    </row>
    <row r="17" ht="7.5" customHeight="1" thickTop="1"/>
    <row r="18" spans="1:2" ht="15">
      <c r="A18" s="67" t="s">
        <v>928</v>
      </c>
      <c r="B18" s="6" t="s">
        <v>366</v>
      </c>
    </row>
    <row r="19" ht="9" customHeight="1"/>
    <row r="20" spans="2:15" ht="15">
      <c r="B20" s="66" t="s">
        <v>797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94"/>
    </row>
    <row r="21" spans="2:15" ht="15">
      <c r="B21" s="66" t="s">
        <v>631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94"/>
    </row>
    <row r="23" spans="1:2" ht="15">
      <c r="A23" s="67" t="s">
        <v>929</v>
      </c>
      <c r="B23" s="6" t="s">
        <v>152</v>
      </c>
    </row>
    <row r="24" spans="1:3" ht="15">
      <c r="A24" s="67"/>
      <c r="B24" s="6" t="s">
        <v>807</v>
      </c>
      <c r="C24" s="6"/>
    </row>
    <row r="25" ht="10.5" customHeight="1"/>
    <row r="26" spans="2:15" ht="15">
      <c r="B26" s="66" t="s">
        <v>798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2:15" ht="15">
      <c r="B27" s="66" t="s">
        <v>799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2:15" ht="15">
      <c r="B28" s="66" t="s">
        <v>804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2:15" ht="15">
      <c r="B29" s="66" t="s">
        <v>805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ht="8.25" customHeight="1"/>
    <row r="31" spans="1:15" ht="15">
      <c r="A31" s="67" t="s">
        <v>931</v>
      </c>
      <c r="B31" s="6" t="s">
        <v>153</v>
      </c>
      <c r="I31" s="126"/>
      <c r="J31" s="86"/>
      <c r="K31" s="30"/>
      <c r="L31" s="32"/>
      <c r="O31" s="54"/>
    </row>
    <row r="32" spans="9:15" ht="8.25" customHeight="1">
      <c r="I32" s="126"/>
      <c r="J32" s="7"/>
      <c r="K32" s="150"/>
      <c r="L32" s="150"/>
      <c r="M32" s="47"/>
      <c r="N32" s="47"/>
      <c r="O32" s="55"/>
    </row>
    <row r="33" spans="2:15" ht="15">
      <c r="B33" s="5" t="s">
        <v>830</v>
      </c>
      <c r="I33" s="126" t="s">
        <v>316</v>
      </c>
      <c r="J33" s="87"/>
      <c r="K33" s="69">
        <v>139340</v>
      </c>
      <c r="L33" s="47"/>
      <c r="M33" s="47"/>
      <c r="N33" s="47"/>
      <c r="O33" s="47">
        <v>145618</v>
      </c>
    </row>
    <row r="34" spans="2:15" ht="15">
      <c r="B34" s="5" t="s">
        <v>500</v>
      </c>
      <c r="I34" s="126"/>
      <c r="J34" s="7"/>
      <c r="K34" s="57">
        <v>2865468</v>
      </c>
      <c r="L34" s="35"/>
      <c r="M34" s="35"/>
      <c r="N34" s="35"/>
      <c r="O34" s="230">
        <v>2961213</v>
      </c>
    </row>
    <row r="35" spans="2:15" ht="15">
      <c r="B35" s="20"/>
      <c r="I35" s="126"/>
      <c r="J35" s="7"/>
      <c r="K35" s="56">
        <f>SUM(K33:K34)</f>
        <v>3004808</v>
      </c>
      <c r="L35" s="35"/>
      <c r="M35" s="35"/>
      <c r="N35" s="35"/>
      <c r="O35" s="35">
        <f>SUM(O33:O34)</f>
        <v>3106831</v>
      </c>
    </row>
    <row r="36" spans="2:15" ht="15">
      <c r="B36" s="66" t="s">
        <v>501</v>
      </c>
      <c r="C36" s="66"/>
      <c r="D36" s="66"/>
      <c r="E36" s="66"/>
      <c r="F36" s="66"/>
      <c r="G36" s="66"/>
      <c r="H36" s="66"/>
      <c r="I36" s="126" t="s">
        <v>207</v>
      </c>
      <c r="J36" s="87"/>
      <c r="K36" s="56">
        <v>-2865468</v>
      </c>
      <c r="L36" s="35"/>
      <c r="M36" s="35"/>
      <c r="N36" s="35"/>
      <c r="O36" s="35">
        <v>-2961213</v>
      </c>
    </row>
    <row r="37" spans="9:15" ht="15.75" thickBot="1">
      <c r="I37" s="126"/>
      <c r="J37" s="7"/>
      <c r="K37" s="233">
        <f>K35+K36</f>
        <v>139340</v>
      </c>
      <c r="L37" s="35"/>
      <c r="M37" s="35"/>
      <c r="N37" s="35"/>
      <c r="O37" s="39">
        <f>O35+O36</f>
        <v>145618</v>
      </c>
    </row>
    <row r="38" spans="9:15" ht="8.25" customHeight="1" thickTop="1">
      <c r="I38" s="126"/>
      <c r="J38" s="7"/>
      <c r="K38" s="150"/>
      <c r="L38" s="150"/>
      <c r="M38" s="47"/>
      <c r="N38" s="47"/>
      <c r="O38" s="150"/>
    </row>
    <row r="39" spans="1:15" ht="15">
      <c r="A39" s="67" t="s">
        <v>207</v>
      </c>
      <c r="B39" s="171" t="s">
        <v>386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5">
      <c r="A40" s="67"/>
      <c r="B40" s="171" t="s">
        <v>806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2:15" ht="15">
      <c r="B41" s="171" t="s">
        <v>592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9:15" ht="7.5" customHeight="1">
      <c r="I42" s="126"/>
      <c r="J42" s="7"/>
      <c r="K42" s="150"/>
      <c r="L42" s="150"/>
      <c r="M42" s="47"/>
      <c r="N42" s="47"/>
      <c r="O42" s="150"/>
    </row>
    <row r="43" spans="1:15" ht="15">
      <c r="A43" s="67" t="s">
        <v>930</v>
      </c>
      <c r="B43" s="6" t="s">
        <v>69</v>
      </c>
      <c r="I43" s="126"/>
      <c r="J43" s="7"/>
      <c r="K43" s="150"/>
      <c r="L43" s="150"/>
      <c r="M43" s="47"/>
      <c r="N43" s="47"/>
      <c r="O43" s="150"/>
    </row>
    <row r="44" spans="9:15" ht="8.25" customHeight="1">
      <c r="I44" s="126"/>
      <c r="J44" s="7"/>
      <c r="K44" s="150"/>
      <c r="L44" s="150"/>
      <c r="M44" s="47"/>
      <c r="N44" s="47"/>
      <c r="O44" s="150"/>
    </row>
    <row r="45" spans="2:15" ht="15">
      <c r="B45" s="5" t="s">
        <v>10</v>
      </c>
      <c r="I45" s="126"/>
      <c r="J45" s="7"/>
      <c r="K45" s="150"/>
      <c r="L45" s="150"/>
      <c r="M45" s="47"/>
      <c r="N45" s="47"/>
      <c r="O45" s="150"/>
    </row>
    <row r="46" spans="2:15" ht="15">
      <c r="B46" s="5" t="s">
        <v>880</v>
      </c>
      <c r="I46" s="126"/>
      <c r="J46" s="7"/>
      <c r="K46" s="150"/>
      <c r="L46" s="150"/>
      <c r="M46" s="47"/>
      <c r="N46" s="47"/>
      <c r="O46" s="150"/>
    </row>
    <row r="47" spans="1:15" ht="15">
      <c r="A47" s="67" t="s">
        <v>839</v>
      </c>
      <c r="B47" s="6" t="s">
        <v>154</v>
      </c>
      <c r="I47" s="126"/>
      <c r="J47" s="7"/>
      <c r="K47" s="30" t="s">
        <v>586</v>
      </c>
      <c r="L47" s="32"/>
      <c r="O47" s="54" t="s">
        <v>33</v>
      </c>
    </row>
    <row r="48" spans="9:15" ht="6.75" customHeight="1">
      <c r="I48" s="126"/>
      <c r="J48" s="7"/>
      <c r="K48" s="504" t="s">
        <v>832</v>
      </c>
      <c r="L48" s="504"/>
      <c r="M48" s="504"/>
      <c r="N48" s="504"/>
      <c r="O48" s="504"/>
    </row>
    <row r="49" spans="2:15" ht="15">
      <c r="B49" s="11" t="s">
        <v>47</v>
      </c>
      <c r="I49" s="126"/>
      <c r="J49" s="7"/>
      <c r="K49" s="69"/>
      <c r="L49" s="69"/>
      <c r="M49" s="47"/>
      <c r="N49" s="47"/>
      <c r="O49" s="47"/>
    </row>
    <row r="50" spans="2:15" ht="11.25" customHeight="1">
      <c r="B50" s="11"/>
      <c r="I50" s="126"/>
      <c r="J50" s="7"/>
      <c r="K50" s="69"/>
      <c r="L50" s="69"/>
      <c r="M50" s="47"/>
      <c r="N50" s="47"/>
      <c r="O50" s="47"/>
    </row>
    <row r="51" spans="2:15" ht="15">
      <c r="B51" s="6" t="s">
        <v>447</v>
      </c>
      <c r="I51" s="126" t="s">
        <v>275</v>
      </c>
      <c r="J51" s="7"/>
      <c r="K51" s="69"/>
      <c r="L51" s="69"/>
      <c r="M51" s="47"/>
      <c r="N51" s="47"/>
      <c r="O51" s="47"/>
    </row>
    <row r="52" spans="2:15" ht="8.25" customHeight="1">
      <c r="B52" s="11"/>
      <c r="I52" s="126"/>
      <c r="J52" s="7"/>
      <c r="K52" s="69"/>
      <c r="L52" s="69"/>
      <c r="M52" s="47"/>
      <c r="N52" s="47"/>
      <c r="O52" s="47"/>
    </row>
    <row r="53" spans="2:15" ht="15">
      <c r="B53" s="5" t="s">
        <v>118</v>
      </c>
      <c r="H53" s="10"/>
      <c r="I53" s="162" t="s">
        <v>276</v>
      </c>
      <c r="J53" s="8"/>
      <c r="K53" s="145">
        <f>('[1]BS Breakup'!$H$86/1000)+135585429</f>
        <v>513842722.52393</v>
      </c>
      <c r="L53" s="151"/>
      <c r="M53" s="151"/>
      <c r="N53" s="151"/>
      <c r="O53" s="151">
        <v>328454605</v>
      </c>
    </row>
    <row r="54" spans="8:15" ht="15" hidden="1">
      <c r="H54" s="10"/>
      <c r="I54" s="162"/>
      <c r="J54" s="8"/>
      <c r="K54" s="145"/>
      <c r="L54" s="151"/>
      <c r="M54" s="151"/>
      <c r="N54" s="151"/>
      <c r="O54" s="151"/>
    </row>
    <row r="55" spans="2:15" ht="15" hidden="1">
      <c r="B55" s="5" t="s">
        <v>987</v>
      </c>
      <c r="H55" s="10"/>
      <c r="I55" s="162"/>
      <c r="J55" s="8"/>
      <c r="K55" s="145"/>
      <c r="L55" s="151"/>
      <c r="M55" s="151"/>
      <c r="N55" s="151"/>
      <c r="O55" s="151">
        <v>0</v>
      </c>
    </row>
    <row r="56" spans="2:15" ht="15">
      <c r="B56" s="5" t="s">
        <v>48</v>
      </c>
      <c r="H56" s="10"/>
      <c r="I56" s="162"/>
      <c r="J56" s="8"/>
      <c r="K56" s="266">
        <v>2740000</v>
      </c>
      <c r="L56" s="151"/>
      <c r="M56" s="151"/>
      <c r="N56" s="151"/>
      <c r="O56" s="267">
        <v>2740000</v>
      </c>
    </row>
    <row r="57" spans="8:18" ht="13.5" customHeight="1">
      <c r="H57" s="10"/>
      <c r="I57" s="126"/>
      <c r="J57" s="7"/>
      <c r="K57" s="145">
        <f>SUM(K53:K56)</f>
        <v>516582722.52393</v>
      </c>
      <c r="L57" s="151"/>
      <c r="M57" s="146"/>
      <c r="N57" s="146"/>
      <c r="O57" s="151">
        <f>SUM(O53:O56)</f>
        <v>331194605</v>
      </c>
      <c r="R57" s="29"/>
    </row>
    <row r="58" spans="8:15" ht="7.5" customHeight="1">
      <c r="H58" s="10"/>
      <c r="I58" s="126"/>
      <c r="J58" s="7"/>
      <c r="K58" s="145"/>
      <c r="L58" s="151"/>
      <c r="M58" s="146"/>
      <c r="N58" s="146"/>
      <c r="O58" s="151"/>
    </row>
    <row r="59" spans="2:15" ht="13.5" customHeight="1">
      <c r="B59" s="11" t="s">
        <v>813</v>
      </c>
      <c r="H59" s="10"/>
      <c r="I59" s="126"/>
      <c r="J59" s="7"/>
      <c r="K59" s="145"/>
      <c r="L59" s="151"/>
      <c r="M59" s="146"/>
      <c r="N59" s="146"/>
      <c r="O59" s="151"/>
    </row>
    <row r="60" spans="11:15" ht="7.5" customHeight="1">
      <c r="K60" s="413"/>
      <c r="L60" s="413"/>
      <c r="M60" s="414"/>
      <c r="N60" s="414"/>
      <c r="O60" s="414"/>
    </row>
    <row r="61" spans="2:15" ht="15">
      <c r="B61" s="6" t="s">
        <v>292</v>
      </c>
      <c r="H61" s="10"/>
      <c r="I61" s="126"/>
      <c r="J61" s="7"/>
      <c r="K61" s="142"/>
      <c r="L61" s="146"/>
      <c r="M61" s="146"/>
      <c r="N61" s="146"/>
      <c r="O61" s="146"/>
    </row>
    <row r="62" spans="8:18" ht="9.75" customHeight="1">
      <c r="H62" s="10"/>
      <c r="I62" s="126"/>
      <c r="J62" s="7"/>
      <c r="K62" s="142"/>
      <c r="L62" s="146"/>
      <c r="M62" s="146"/>
      <c r="N62" s="146"/>
      <c r="O62" s="146"/>
      <c r="R62" s="95"/>
    </row>
    <row r="63" spans="2:16" ht="15">
      <c r="B63" s="5" t="s">
        <v>831</v>
      </c>
      <c r="H63" s="10"/>
      <c r="J63" s="88"/>
      <c r="K63" s="444"/>
      <c r="L63" s="445"/>
      <c r="M63" s="151"/>
      <c r="N63" s="446"/>
      <c r="O63" s="447"/>
      <c r="P63" s="207"/>
    </row>
    <row r="64" spans="2:16" ht="15">
      <c r="B64" s="26" t="s">
        <v>671</v>
      </c>
      <c r="C64" s="5" t="s">
        <v>23</v>
      </c>
      <c r="H64" s="10"/>
      <c r="I64" s="126"/>
      <c r="J64" s="89"/>
      <c r="K64" s="258">
        <f>'Note 12.2 - 12.5'!J13</f>
        <v>14967804</v>
      </c>
      <c r="L64" s="448"/>
      <c r="M64" s="151"/>
      <c r="N64" s="449"/>
      <c r="O64" s="268">
        <v>15892481</v>
      </c>
      <c r="P64" s="208"/>
    </row>
    <row r="65" spans="2:16" ht="15">
      <c r="B65" s="26" t="s">
        <v>671</v>
      </c>
      <c r="C65" s="5" t="s">
        <v>480</v>
      </c>
      <c r="H65" s="10"/>
      <c r="I65" s="126"/>
      <c r="J65" s="89"/>
      <c r="K65" s="262">
        <f>'Note 12.2 - 12.5'!J22</f>
        <v>11576859</v>
      </c>
      <c r="L65" s="448"/>
      <c r="M65" s="151"/>
      <c r="N65" s="449"/>
      <c r="O65" s="270">
        <v>14449809</v>
      </c>
      <c r="P65" s="208"/>
    </row>
    <row r="66" spans="2:16" ht="15">
      <c r="B66" s="37"/>
      <c r="H66" s="10"/>
      <c r="I66" s="126" t="s">
        <v>277</v>
      </c>
      <c r="J66" s="89"/>
      <c r="K66" s="145">
        <f>SUM(K64:K65)</f>
        <v>26544663</v>
      </c>
      <c r="L66" s="448"/>
      <c r="M66" s="151"/>
      <c r="N66" s="449"/>
      <c r="O66" s="151">
        <f>SUM(O64:O65)</f>
        <v>30342290</v>
      </c>
      <c r="P66" s="208"/>
    </row>
    <row r="67" spans="2:16" ht="15">
      <c r="B67" s="37"/>
      <c r="H67" s="10"/>
      <c r="I67" s="126"/>
      <c r="J67" s="89"/>
      <c r="K67" s="145"/>
      <c r="L67" s="448"/>
      <c r="M67" s="151"/>
      <c r="N67" s="449"/>
      <c r="O67" s="151"/>
      <c r="P67" s="208"/>
    </row>
    <row r="68" spans="2:17" ht="15">
      <c r="B68" s="5" t="s">
        <v>334</v>
      </c>
      <c r="J68" s="83"/>
      <c r="K68" s="145">
        <v>282400</v>
      </c>
      <c r="L68" s="448"/>
      <c r="M68" s="151"/>
      <c r="N68" s="449"/>
      <c r="O68" s="151">
        <v>282400</v>
      </c>
      <c r="P68" s="208"/>
      <c r="Q68" s="10"/>
    </row>
    <row r="69" spans="2:16" ht="15">
      <c r="B69" s="5" t="s">
        <v>97</v>
      </c>
      <c r="J69" s="85"/>
      <c r="K69" s="266">
        <v>112351</v>
      </c>
      <c r="L69" s="450"/>
      <c r="M69" s="146"/>
      <c r="N69" s="451"/>
      <c r="O69" s="267">
        <v>112351</v>
      </c>
      <c r="P69" s="209"/>
    </row>
    <row r="70" spans="6:16" ht="15">
      <c r="F70" s="36"/>
      <c r="J70" s="157"/>
      <c r="K70" s="452">
        <f>SUM(K66:K69)</f>
        <v>26939414</v>
      </c>
      <c r="L70" s="453"/>
      <c r="M70" s="151"/>
      <c r="N70" s="453"/>
      <c r="O70" s="453">
        <f>SUM(O66:O69)</f>
        <v>30737041</v>
      </c>
      <c r="P70" s="157"/>
    </row>
    <row r="71" spans="5:15" ht="15">
      <c r="E71" s="163"/>
      <c r="H71" s="10"/>
      <c r="I71" s="126"/>
      <c r="J71" s="7"/>
      <c r="K71" s="145">
        <f>K57+K70</f>
        <v>543522136.5239301</v>
      </c>
      <c r="L71" s="151"/>
      <c r="M71" s="146"/>
      <c r="N71" s="146"/>
      <c r="O71" s="151">
        <f>O57+O70</f>
        <v>361931646</v>
      </c>
    </row>
    <row r="72" spans="5:15" ht="9" customHeight="1">
      <c r="E72" s="163"/>
      <c r="H72" s="10"/>
      <c r="I72" s="126"/>
      <c r="J72" s="7"/>
      <c r="K72" s="145"/>
      <c r="L72" s="151"/>
      <c r="M72" s="146"/>
      <c r="N72" s="146"/>
      <c r="O72" s="151"/>
    </row>
    <row r="73" spans="2:16" ht="15">
      <c r="B73" s="66" t="s">
        <v>708</v>
      </c>
      <c r="C73" s="66"/>
      <c r="D73" s="66"/>
      <c r="E73" s="66"/>
      <c r="F73" s="66"/>
      <c r="H73" s="10"/>
      <c r="I73" s="126"/>
      <c r="J73" s="158"/>
      <c r="K73" s="266">
        <v>-601751</v>
      </c>
      <c r="L73" s="267"/>
      <c r="M73" s="146"/>
      <c r="N73" s="267"/>
      <c r="O73" s="267">
        <v>-789876</v>
      </c>
      <c r="P73" s="272"/>
    </row>
    <row r="74" spans="8:15" ht="15">
      <c r="H74" s="10"/>
      <c r="I74" s="126"/>
      <c r="J74" s="7"/>
      <c r="K74" s="145">
        <f>SUM(K71:K73)</f>
        <v>542920385.5239301</v>
      </c>
      <c r="L74" s="151"/>
      <c r="M74" s="146"/>
      <c r="N74" s="146"/>
      <c r="O74" s="151">
        <f>SUM(O71:O73)</f>
        <v>361141770</v>
      </c>
    </row>
    <row r="75" spans="8:15" ht="15">
      <c r="H75" s="10"/>
      <c r="I75" s="126"/>
      <c r="J75" s="7"/>
      <c r="K75" s="145"/>
      <c r="L75" s="151"/>
      <c r="M75" s="146"/>
      <c r="N75" s="146"/>
      <c r="O75" s="151"/>
    </row>
    <row r="76" spans="2:15" ht="15">
      <c r="B76" s="6" t="s">
        <v>293</v>
      </c>
      <c r="F76" s="36"/>
      <c r="K76" s="145"/>
      <c r="L76" s="151"/>
      <c r="M76" s="151"/>
      <c r="N76" s="151"/>
      <c r="O76" s="151"/>
    </row>
    <row r="77" spans="6:15" ht="6" customHeight="1">
      <c r="F77" s="36"/>
      <c r="K77" s="145"/>
      <c r="L77" s="151"/>
      <c r="M77" s="151"/>
      <c r="N77" s="151"/>
      <c r="O77" s="151"/>
    </row>
    <row r="78" spans="2:15" ht="15">
      <c r="B78" s="5" t="s">
        <v>809</v>
      </c>
      <c r="F78" s="36"/>
      <c r="K78" s="145"/>
      <c r="L78" s="151"/>
      <c r="M78" s="151"/>
      <c r="N78" s="151"/>
      <c r="O78" s="151"/>
    </row>
    <row r="79" spans="2:16" ht="15">
      <c r="B79" s="5" t="s">
        <v>817</v>
      </c>
      <c r="F79" s="36"/>
      <c r="J79" s="82"/>
      <c r="K79" s="444">
        <v>1000000</v>
      </c>
      <c r="L79" s="445"/>
      <c r="M79" s="151"/>
      <c r="N79" s="446"/>
      <c r="O79" s="447">
        <v>1000000</v>
      </c>
      <c r="P79" s="207"/>
    </row>
    <row r="80" spans="2:16" ht="15">
      <c r="B80" s="10" t="s">
        <v>856</v>
      </c>
      <c r="F80" s="36"/>
      <c r="J80" s="83"/>
      <c r="K80" s="145"/>
      <c r="L80" s="448"/>
      <c r="M80" s="151"/>
      <c r="N80" s="449"/>
      <c r="O80" s="151"/>
      <c r="P80" s="208"/>
    </row>
    <row r="81" spans="2:16" ht="15">
      <c r="B81" s="10" t="s">
        <v>881</v>
      </c>
      <c r="F81" s="36"/>
      <c r="I81" s="135" t="s">
        <v>278</v>
      </c>
      <c r="J81" s="85"/>
      <c r="K81" s="266">
        <v>29260</v>
      </c>
      <c r="L81" s="450"/>
      <c r="M81" s="151"/>
      <c r="N81" s="451"/>
      <c r="O81" s="267">
        <v>29260</v>
      </c>
      <c r="P81" s="209"/>
    </row>
    <row r="82" spans="6:15" ht="15">
      <c r="F82" s="36"/>
      <c r="K82" s="452">
        <f>SUM(K79:K81)</f>
        <v>1029260</v>
      </c>
      <c r="L82" s="146"/>
      <c r="M82" s="146"/>
      <c r="N82" s="146"/>
      <c r="O82" s="453">
        <f>SUM(O79:O81)</f>
        <v>1029260</v>
      </c>
    </row>
    <row r="83" spans="6:15" ht="15" hidden="1">
      <c r="F83" s="36"/>
      <c r="K83" s="142"/>
      <c r="L83" s="146"/>
      <c r="M83" s="146"/>
      <c r="N83" s="146"/>
      <c r="O83" s="146"/>
    </row>
    <row r="84" spans="2:15" ht="15">
      <c r="B84" s="23"/>
      <c r="C84" s="23"/>
      <c r="D84" s="23"/>
      <c r="E84" s="23"/>
      <c r="F84" s="23"/>
      <c r="H84" s="10"/>
      <c r="I84" s="126"/>
      <c r="J84" s="7"/>
      <c r="K84" s="145">
        <f>K74+K82</f>
        <v>543949645.5239301</v>
      </c>
      <c r="L84" s="151"/>
      <c r="M84" s="146"/>
      <c r="N84" s="146"/>
      <c r="O84" s="151">
        <f>O74+O82</f>
        <v>362171030</v>
      </c>
    </row>
    <row r="85" spans="2:15" ht="15">
      <c r="B85" s="94" t="s">
        <v>119</v>
      </c>
      <c r="C85" s="23"/>
      <c r="D85" s="23"/>
      <c r="E85" s="23"/>
      <c r="F85" s="23"/>
      <c r="H85" s="10"/>
      <c r="I85" s="126"/>
      <c r="J85" s="7"/>
      <c r="K85" s="145"/>
      <c r="L85" s="151"/>
      <c r="M85" s="146"/>
      <c r="N85" s="146"/>
      <c r="O85" s="151"/>
    </row>
    <row r="86" spans="2:15" ht="16.5" customHeight="1">
      <c r="B86" s="94" t="s">
        <v>808</v>
      </c>
      <c r="C86" s="94"/>
      <c r="D86" s="94"/>
      <c r="E86" s="94"/>
      <c r="F86" s="94"/>
      <c r="G86" s="94"/>
      <c r="H86" s="94"/>
      <c r="I86" s="126"/>
      <c r="J86" s="158"/>
      <c r="K86" s="266">
        <f>-139131300+3545871</f>
        <v>-135585429</v>
      </c>
      <c r="L86" s="267"/>
      <c r="M86" s="146"/>
      <c r="N86" s="267"/>
      <c r="O86" s="267">
        <v>-162802630</v>
      </c>
    </row>
    <row r="87" spans="2:15" ht="0.75" customHeight="1" hidden="1">
      <c r="B87" s="49"/>
      <c r="C87" s="49"/>
      <c r="D87" s="49"/>
      <c r="E87" s="49"/>
      <c r="F87" s="49"/>
      <c r="G87" s="49"/>
      <c r="H87" s="49"/>
      <c r="I87" s="126"/>
      <c r="J87" s="7"/>
      <c r="K87" s="145"/>
      <c r="L87" s="151"/>
      <c r="M87" s="146"/>
      <c r="N87" s="146"/>
      <c r="O87" s="151"/>
    </row>
    <row r="88" spans="2:15" ht="15.75" thickBot="1">
      <c r="B88" s="49"/>
      <c r="C88" s="49"/>
      <c r="D88" s="49"/>
      <c r="E88" s="49"/>
      <c r="F88" s="49"/>
      <c r="G88" s="49"/>
      <c r="H88" s="49"/>
      <c r="I88" s="126"/>
      <c r="J88" s="7"/>
      <c r="K88" s="264">
        <f>K84+K86</f>
        <v>408364216.5239301</v>
      </c>
      <c r="L88" s="151"/>
      <c r="M88" s="146"/>
      <c r="N88" s="146"/>
      <c r="O88" s="271">
        <f>O84+O86</f>
        <v>199368400</v>
      </c>
    </row>
    <row r="89" spans="11:13" ht="9.75" customHeight="1" thickTop="1">
      <c r="K89" s="29"/>
      <c r="L89" s="29"/>
      <c r="M89" s="5"/>
    </row>
    <row r="90" spans="1:13" ht="15">
      <c r="A90" s="74" t="s">
        <v>275</v>
      </c>
      <c r="B90" s="99" t="s">
        <v>294</v>
      </c>
      <c r="K90" s="29"/>
      <c r="L90" s="29"/>
      <c r="M90" s="5"/>
    </row>
    <row r="91" spans="1:13" ht="15">
      <c r="A91" s="75"/>
      <c r="B91" s="49"/>
      <c r="K91" s="29"/>
      <c r="L91" s="29"/>
      <c r="M91" s="5"/>
    </row>
    <row r="92" spans="1:13" ht="15">
      <c r="A92" s="75"/>
      <c r="B92" s="66" t="s">
        <v>818</v>
      </c>
      <c r="K92" s="29"/>
      <c r="L92" s="29"/>
      <c r="M92" s="5"/>
    </row>
    <row r="93" spans="1:13" ht="15">
      <c r="A93" s="75"/>
      <c r="B93" s="66" t="s">
        <v>502</v>
      </c>
      <c r="K93" s="29"/>
      <c r="L93" s="29"/>
      <c r="M93" s="5"/>
    </row>
    <row r="94" spans="11:15" ht="9.75" customHeight="1">
      <c r="K94" s="6"/>
      <c r="L94" s="29"/>
      <c r="O94" s="33"/>
    </row>
    <row r="95" spans="11:15" ht="15">
      <c r="K95" s="322">
        <v>2006</v>
      </c>
      <c r="L95" s="323"/>
      <c r="M95" s="251"/>
      <c r="N95" s="251"/>
      <c r="O95" s="324">
        <v>2005</v>
      </c>
    </row>
    <row r="96" spans="11:15" ht="15">
      <c r="K96" s="503" t="s">
        <v>696</v>
      </c>
      <c r="L96" s="503"/>
      <c r="M96" s="503"/>
      <c r="N96" s="503"/>
      <c r="O96" s="503"/>
    </row>
    <row r="97" spans="11:12" ht="12" customHeight="1">
      <c r="K97" s="29"/>
      <c r="L97" s="29"/>
    </row>
    <row r="98" spans="2:15" ht="15">
      <c r="B98" s="5" t="s">
        <v>986</v>
      </c>
      <c r="K98" s="6" t="s">
        <v>590</v>
      </c>
      <c r="L98" s="28"/>
      <c r="M98" s="70"/>
      <c r="N98" s="70"/>
      <c r="O98" s="33" t="s">
        <v>379</v>
      </c>
    </row>
    <row r="99" spans="2:15" ht="15.75" customHeight="1">
      <c r="B99" s="5" t="s">
        <v>48</v>
      </c>
      <c r="K99" s="15">
        <v>3</v>
      </c>
      <c r="L99" s="70"/>
      <c r="M99" s="70"/>
      <c r="N99" s="70"/>
      <c r="O99" s="140">
        <v>3</v>
      </c>
    </row>
    <row r="101" ht="15" customHeight="1"/>
    <row r="102" ht="75" customHeight="1"/>
    <row r="103" ht="0.75" customHeight="1" hidden="1"/>
    <row r="104" ht="15" hidden="1"/>
    <row r="105" ht="0.75" customHeight="1" hidden="1"/>
    <row r="107" ht="12" customHeight="1"/>
    <row r="108" ht="15" hidden="1"/>
    <row r="109" ht="3" customHeight="1"/>
    <row r="110" ht="15" hidden="1"/>
  </sheetData>
  <mergeCells count="3">
    <mergeCell ref="K96:O96"/>
    <mergeCell ref="K48:O48"/>
    <mergeCell ref="K12:O12"/>
  </mergeCells>
  <printOptions/>
  <pageMargins left="0.75" right="0.5" top="1" bottom="0.7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79"/>
  <sheetViews>
    <sheetView view="pageBreakPreview" zoomScaleSheetLayoutView="100" workbookViewId="0" topLeftCell="A1">
      <selection activeCell="E16" sqref="E16"/>
    </sheetView>
  </sheetViews>
  <sheetFormatPr defaultColWidth="9.140625" defaultRowHeight="15" customHeight="1"/>
  <cols>
    <col min="1" max="1" width="6.421875" style="75" customWidth="1"/>
    <col min="2" max="2" width="2.421875" style="5" customWidth="1"/>
    <col min="3" max="3" width="6.28125" style="5" customWidth="1"/>
    <col min="4" max="4" width="7.57421875" style="5" customWidth="1"/>
    <col min="5" max="5" width="13.7109375" style="5" customWidth="1"/>
    <col min="6" max="7" width="7.140625" style="5" customWidth="1"/>
    <col min="8" max="8" width="16.00390625" style="5" bestFit="1" customWidth="1"/>
    <col min="9" max="9" width="0.85546875" style="5" customWidth="1"/>
    <col min="10" max="10" width="13.7109375" style="43" customWidth="1"/>
    <col min="11" max="11" width="0.85546875" style="43" customWidth="1"/>
    <col min="12" max="12" width="1.7109375" style="29" customWidth="1"/>
    <col min="13" max="13" width="0.85546875" style="29" customWidth="1"/>
    <col min="14" max="14" width="13.7109375" style="29" customWidth="1"/>
    <col min="15" max="15" width="1.28515625" style="5" customWidth="1"/>
    <col min="16" max="16" width="1.421875" style="5" customWidth="1"/>
    <col min="17" max="17" width="0.85546875" style="5" customWidth="1"/>
    <col min="18" max="18" width="17.28125" style="5" hidden="1" customWidth="1"/>
    <col min="19" max="19" width="0.71875" style="5" hidden="1" customWidth="1"/>
    <col min="20" max="20" width="13.57421875" style="5" hidden="1" customWidth="1"/>
    <col min="21" max="16384" width="7.57421875" style="5" customWidth="1"/>
  </cols>
  <sheetData>
    <row r="1" spans="1:14" ht="15" customHeight="1">
      <c r="A1" s="74" t="s">
        <v>276</v>
      </c>
      <c r="B1" s="5" t="s">
        <v>857</v>
      </c>
      <c r="G1" s="25"/>
      <c r="H1" s="25"/>
      <c r="I1" s="25"/>
      <c r="J1" s="15"/>
      <c r="K1" s="25"/>
      <c r="L1" s="25"/>
      <c r="M1" s="25"/>
      <c r="N1" s="14"/>
    </row>
    <row r="2" spans="2:14" ht="15" customHeight="1">
      <c r="B2" s="5" t="s">
        <v>858</v>
      </c>
      <c r="G2" s="25"/>
      <c r="H2" s="25"/>
      <c r="I2" s="25"/>
      <c r="J2" s="56"/>
      <c r="K2" s="70"/>
      <c r="L2" s="70"/>
      <c r="M2" s="70"/>
      <c r="N2" s="70"/>
    </row>
    <row r="3" spans="1:14" ht="10.5" customHeight="1">
      <c r="A3" s="78"/>
      <c r="B3" s="9"/>
      <c r="C3" s="9"/>
      <c r="D3" s="9"/>
      <c r="E3" s="9"/>
      <c r="F3" s="9"/>
      <c r="G3" s="9"/>
      <c r="H3" s="9"/>
      <c r="I3" s="9"/>
      <c r="J3" s="28"/>
      <c r="K3" s="28"/>
      <c r="L3" s="28"/>
      <c r="M3" s="28"/>
      <c r="N3" s="28"/>
    </row>
    <row r="4" spans="1:14" ht="15" customHeight="1">
      <c r="A4" s="74" t="s">
        <v>277</v>
      </c>
      <c r="B4" s="6" t="s">
        <v>688</v>
      </c>
      <c r="C4" s="9"/>
      <c r="D4" s="9"/>
      <c r="E4" s="9"/>
      <c r="F4" s="9"/>
      <c r="G4" s="9"/>
      <c r="H4" s="9"/>
      <c r="I4" s="9"/>
      <c r="J4" s="28"/>
      <c r="K4" s="28"/>
      <c r="L4" s="28"/>
      <c r="M4" s="28"/>
      <c r="N4" s="28"/>
    </row>
    <row r="5" spans="1:14" ht="15" customHeight="1">
      <c r="A5" s="74"/>
      <c r="B5" s="6" t="s">
        <v>206</v>
      </c>
      <c r="C5" s="23"/>
      <c r="D5" s="23"/>
      <c r="E5" s="23"/>
      <c r="G5" s="10"/>
      <c r="H5" s="12" t="s">
        <v>279</v>
      </c>
      <c r="J5" s="31"/>
      <c r="K5" s="31"/>
      <c r="L5" s="28"/>
      <c r="M5" s="28"/>
      <c r="N5" s="70"/>
    </row>
    <row r="6" spans="2:14" ht="10.5" customHeight="1">
      <c r="B6" s="23"/>
      <c r="C6" s="23"/>
      <c r="D6" s="23"/>
      <c r="E6" s="23"/>
      <c r="F6" s="10"/>
      <c r="G6" s="10"/>
      <c r="J6" s="31"/>
      <c r="K6" s="31"/>
      <c r="L6" s="28"/>
      <c r="M6" s="28"/>
      <c r="N6" s="70"/>
    </row>
    <row r="7" spans="6:14" ht="15" customHeight="1">
      <c r="F7" s="193">
        <v>2006</v>
      </c>
      <c r="G7" s="97">
        <v>2005</v>
      </c>
      <c r="H7" s="10"/>
      <c r="I7" s="10"/>
      <c r="J7" s="30" t="s">
        <v>586</v>
      </c>
      <c r="K7" s="32"/>
      <c r="N7" s="54" t="s">
        <v>33</v>
      </c>
    </row>
    <row r="8" spans="2:14" ht="15" customHeight="1">
      <c r="B8" s="6"/>
      <c r="F8" s="193" t="s">
        <v>709</v>
      </c>
      <c r="G8" s="97" t="s">
        <v>709</v>
      </c>
      <c r="H8" s="10"/>
      <c r="I8" s="10"/>
      <c r="J8" s="491" t="s">
        <v>832</v>
      </c>
      <c r="K8" s="491"/>
      <c r="L8" s="491"/>
      <c r="M8" s="491"/>
      <c r="N8" s="491"/>
    </row>
    <row r="9" spans="2:14" ht="15" customHeight="1">
      <c r="B9" s="6" t="s">
        <v>23</v>
      </c>
      <c r="F9" s="80"/>
      <c r="G9" s="80"/>
      <c r="H9" s="81"/>
      <c r="I9" s="10"/>
      <c r="J9" s="35"/>
      <c r="K9" s="35"/>
      <c r="L9" s="35"/>
      <c r="M9" s="35"/>
      <c r="N9" s="35"/>
    </row>
    <row r="10" spans="2:14" ht="15" customHeight="1">
      <c r="B10" s="5" t="s">
        <v>697</v>
      </c>
      <c r="F10" s="127">
        <v>75.18</v>
      </c>
      <c r="G10" s="128">
        <v>75.18</v>
      </c>
      <c r="H10" s="81" t="s">
        <v>280</v>
      </c>
      <c r="I10" s="10"/>
      <c r="J10" s="145">
        <v>1100807</v>
      </c>
      <c r="K10" s="151"/>
      <c r="L10" s="151"/>
      <c r="M10" s="151"/>
      <c r="N10" s="151">
        <v>1100807</v>
      </c>
    </row>
    <row r="11" spans="2:14" ht="15" customHeight="1">
      <c r="B11" s="5" t="s">
        <v>814</v>
      </c>
      <c r="F11" s="127">
        <v>44.48</v>
      </c>
      <c r="G11" s="128">
        <v>48.69</v>
      </c>
      <c r="H11" s="81" t="s">
        <v>281</v>
      </c>
      <c r="I11" s="10"/>
      <c r="J11" s="145">
        <v>13516359</v>
      </c>
      <c r="K11" s="151"/>
      <c r="L11" s="151"/>
      <c r="M11" s="151"/>
      <c r="N11" s="151">
        <v>14791674</v>
      </c>
    </row>
    <row r="12" spans="2:14" ht="15" customHeight="1">
      <c r="B12" s="5" t="s">
        <v>29</v>
      </c>
      <c r="F12" s="127">
        <v>10.26</v>
      </c>
      <c r="G12" s="128">
        <v>10.26</v>
      </c>
      <c r="H12" s="81" t="s">
        <v>282</v>
      </c>
      <c r="I12" s="10"/>
      <c r="J12" s="266">
        <v>350638</v>
      </c>
      <c r="K12" s="151"/>
      <c r="L12" s="151"/>
      <c r="M12" s="151"/>
      <c r="N12" s="267">
        <v>350638</v>
      </c>
    </row>
    <row r="13" spans="6:14" ht="15" customHeight="1">
      <c r="F13" s="127"/>
      <c r="G13" s="128"/>
      <c r="H13" s="81"/>
      <c r="I13" s="10"/>
      <c r="J13" s="145">
        <f>SUM(J10:J12)</f>
        <v>14967804</v>
      </c>
      <c r="K13" s="151"/>
      <c r="L13" s="151"/>
      <c r="M13" s="151"/>
      <c r="N13" s="151">
        <f>SUM(N10:N12)</f>
        <v>16243119</v>
      </c>
    </row>
    <row r="14" spans="2:18" ht="10.5" customHeight="1">
      <c r="B14" s="6"/>
      <c r="C14" s="20"/>
      <c r="F14" s="129"/>
      <c r="G14" s="130"/>
      <c r="H14" s="18"/>
      <c r="I14" s="18"/>
      <c r="J14" s="145"/>
      <c r="K14" s="151"/>
      <c r="L14" s="151"/>
      <c r="M14" s="151"/>
      <c r="N14" s="414"/>
      <c r="R14" s="38"/>
    </row>
    <row r="15" spans="2:14" ht="15" customHeight="1">
      <c r="B15" s="6" t="s">
        <v>480</v>
      </c>
      <c r="F15" s="131"/>
      <c r="G15" s="132"/>
      <c r="H15" s="8"/>
      <c r="I15" s="8"/>
      <c r="J15" s="145"/>
      <c r="K15" s="151"/>
      <c r="L15" s="151"/>
      <c r="M15" s="151"/>
      <c r="N15" s="151"/>
    </row>
    <row r="16" spans="2:18" ht="15" customHeight="1">
      <c r="B16" s="5" t="s">
        <v>698</v>
      </c>
      <c r="F16" s="250">
        <v>48.05</v>
      </c>
      <c r="G16" s="128">
        <v>60.55</v>
      </c>
      <c r="H16" s="81" t="s">
        <v>283</v>
      </c>
      <c r="I16" s="82"/>
      <c r="J16" s="444">
        <v>9695153</v>
      </c>
      <c r="K16" s="445"/>
      <c r="L16" s="151"/>
      <c r="M16" s="446"/>
      <c r="N16" s="447">
        <v>12217465</v>
      </c>
      <c r="O16" s="207"/>
      <c r="R16" s="7"/>
    </row>
    <row r="17" spans="2:18" ht="15" customHeight="1">
      <c r="B17" s="5" t="s">
        <v>750</v>
      </c>
      <c r="F17" s="374">
        <v>75</v>
      </c>
      <c r="G17" s="375">
        <v>75</v>
      </c>
      <c r="H17" s="10"/>
      <c r="I17" s="83"/>
      <c r="J17" s="145">
        <v>150000</v>
      </c>
      <c r="K17" s="448"/>
      <c r="L17" s="151"/>
      <c r="M17" s="449"/>
      <c r="N17" s="151">
        <v>150000</v>
      </c>
      <c r="O17" s="208"/>
      <c r="R17" s="113"/>
    </row>
    <row r="18" spans="2:18" ht="15" customHeight="1">
      <c r="B18" s="5" t="s">
        <v>699</v>
      </c>
      <c r="F18" s="127">
        <v>65.81</v>
      </c>
      <c r="G18" s="128">
        <v>65.81</v>
      </c>
      <c r="H18" s="10"/>
      <c r="I18" s="83"/>
      <c r="J18" s="266">
        <v>102000</v>
      </c>
      <c r="K18" s="448"/>
      <c r="L18" s="151"/>
      <c r="M18" s="449"/>
      <c r="N18" s="267">
        <v>102000</v>
      </c>
      <c r="O18" s="208"/>
      <c r="R18" s="36"/>
    </row>
    <row r="19" spans="2:18" ht="15" customHeight="1">
      <c r="B19" s="23"/>
      <c r="C19" s="20"/>
      <c r="G19" s="10"/>
      <c r="H19" s="10"/>
      <c r="I19" s="83"/>
      <c r="J19" s="145">
        <f>SUM(J16:J18)</f>
        <v>9947153</v>
      </c>
      <c r="K19" s="448"/>
      <c r="L19" s="151"/>
      <c r="M19" s="449"/>
      <c r="N19" s="151">
        <f>SUM(N16:N18)</f>
        <v>12469465</v>
      </c>
      <c r="O19" s="208"/>
      <c r="R19" s="113"/>
    </row>
    <row r="20" spans="2:18" ht="15" customHeight="1">
      <c r="B20" s="5" t="s">
        <v>503</v>
      </c>
      <c r="G20" s="10"/>
      <c r="H20" s="10"/>
      <c r="I20" s="83"/>
      <c r="J20" s="145"/>
      <c r="K20" s="448"/>
      <c r="L20" s="151"/>
      <c r="M20" s="449"/>
      <c r="N20" s="151"/>
      <c r="O20" s="208"/>
      <c r="R20" s="113"/>
    </row>
    <row r="21" spans="2:15" ht="15" customHeight="1">
      <c r="B21" s="5" t="s">
        <v>70</v>
      </c>
      <c r="G21" s="84"/>
      <c r="H21" s="81"/>
      <c r="I21" s="85"/>
      <c r="J21" s="266">
        <f>1629706</f>
        <v>1629706</v>
      </c>
      <c r="K21" s="450"/>
      <c r="L21" s="151"/>
      <c r="M21" s="451"/>
      <c r="N21" s="267">
        <f>1980344-350638</f>
        <v>1629706</v>
      </c>
      <c r="O21" s="209"/>
    </row>
    <row r="22" spans="2:14" ht="15" customHeight="1">
      <c r="B22" s="23"/>
      <c r="G22" s="10"/>
      <c r="H22" s="10"/>
      <c r="I22" s="10"/>
      <c r="J22" s="145">
        <f>SUM(J19:J21)</f>
        <v>11576859</v>
      </c>
      <c r="K22" s="151"/>
      <c r="L22" s="151"/>
      <c r="M22" s="151"/>
      <c r="N22" s="151">
        <f>SUM(N19:N21)</f>
        <v>14099171</v>
      </c>
    </row>
    <row r="23" spans="2:14" ht="15" customHeight="1" thickBot="1">
      <c r="B23" s="23"/>
      <c r="G23" s="10"/>
      <c r="H23" s="10"/>
      <c r="I23" s="10"/>
      <c r="J23" s="264">
        <f>J13+J22</f>
        <v>26544663</v>
      </c>
      <c r="K23" s="151"/>
      <c r="L23" s="151"/>
      <c r="M23" s="151"/>
      <c r="N23" s="271">
        <f>+N22+N13</f>
        <v>30342290</v>
      </c>
    </row>
    <row r="24" spans="2:14" ht="10.5" customHeight="1" thickTop="1">
      <c r="B24" s="23"/>
      <c r="G24" s="10"/>
      <c r="H24" s="10"/>
      <c r="I24" s="10"/>
      <c r="J24" s="35"/>
      <c r="K24" s="35"/>
      <c r="L24" s="35"/>
      <c r="M24" s="35"/>
      <c r="N24" s="35"/>
    </row>
    <row r="25" spans="1:14" ht="15" customHeight="1">
      <c r="A25" s="74" t="s">
        <v>279</v>
      </c>
      <c r="B25" s="66" t="s">
        <v>859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2:14" ht="15" customHeight="1">
      <c r="B26" s="66" t="s">
        <v>860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2:14" ht="15" customHeight="1">
      <c r="B27" s="170" t="s">
        <v>861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15" customHeight="1">
      <c r="B28" s="170" t="s">
        <v>862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2:14" ht="15" customHeight="1">
      <c r="B29" s="66" t="s">
        <v>863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2:14" ht="15" customHeight="1">
      <c r="B30" s="66" t="s">
        <v>864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2:14" ht="10.5" customHeight="1">
      <c r="B31" s="66"/>
      <c r="C31" s="49"/>
      <c r="D31" s="49"/>
      <c r="E31" s="49"/>
      <c r="F31" s="49"/>
      <c r="G31" s="49"/>
      <c r="H31" s="49"/>
      <c r="I31" s="49"/>
      <c r="J31" s="160"/>
      <c r="K31" s="160"/>
      <c r="L31" s="160"/>
      <c r="M31" s="160"/>
      <c r="N31" s="160"/>
    </row>
    <row r="32" spans="1:18" ht="15" customHeight="1">
      <c r="A32" s="74" t="s">
        <v>280</v>
      </c>
      <c r="B32" s="170" t="s">
        <v>865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R32" s="36"/>
    </row>
    <row r="33" spans="2:18" ht="15" customHeight="1">
      <c r="B33" s="170" t="s">
        <v>866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R33" s="36">
        <v>67.5</v>
      </c>
    </row>
    <row r="34" spans="2:18" ht="10.5" customHeight="1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R34" s="36"/>
    </row>
    <row r="35" spans="1:18" ht="15" customHeight="1">
      <c r="A35" s="74" t="s">
        <v>281</v>
      </c>
      <c r="B35" s="170" t="s">
        <v>840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R35" s="36"/>
    </row>
    <row r="36" spans="2:18" ht="15" customHeight="1">
      <c r="B36" s="170" t="s">
        <v>867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R36" s="7" t="e">
        <f>R33*#REF!</f>
        <v>#REF!</v>
      </c>
    </row>
    <row r="37" spans="2:18" ht="10.5" customHeight="1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R37" s="7"/>
    </row>
    <row r="38" spans="1:14" ht="15" customHeight="1">
      <c r="A38" s="74" t="s">
        <v>282</v>
      </c>
      <c r="B38" s="170" t="s">
        <v>841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2:14" ht="15" customHeight="1">
      <c r="B39" s="170" t="s">
        <v>868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2:14" ht="10.5" customHeight="1"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</row>
    <row r="41" spans="1:14" ht="15" customHeight="1">
      <c r="A41" s="96" t="s">
        <v>284</v>
      </c>
      <c r="B41" s="66" t="s">
        <v>869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</row>
    <row r="42" spans="2:14" ht="15" customHeight="1">
      <c r="B42" s="170" t="s">
        <v>870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</row>
    <row r="43" spans="2:14" ht="15" customHeight="1">
      <c r="B43" s="170" t="s">
        <v>871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</row>
    <row r="44" spans="2:14" ht="15" customHeight="1">
      <c r="B44" s="170" t="s">
        <v>872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</row>
    <row r="45" spans="2:14" ht="15" customHeight="1">
      <c r="B45" s="170" t="s">
        <v>873</v>
      </c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2:14" ht="15" customHeight="1">
      <c r="B46" s="170" t="s">
        <v>874</v>
      </c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</row>
    <row r="47" spans="2:14" ht="15" customHeight="1">
      <c r="B47" s="170" t="s">
        <v>182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</row>
    <row r="48" spans="2:14" ht="10.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5" customHeight="1">
      <c r="A49" s="74" t="s">
        <v>285</v>
      </c>
      <c r="B49" s="66" t="s">
        <v>727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2:14" ht="15" customHeight="1">
      <c r="B50" s="66" t="s">
        <v>884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2:14" ht="10.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5" customHeight="1">
      <c r="A52" s="74" t="s">
        <v>278</v>
      </c>
      <c r="B52" s="5" t="s">
        <v>882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5" customHeight="1">
      <c r="A53" s="5"/>
      <c r="B53" s="5" t="s">
        <v>883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5" customHeight="1">
      <c r="A54" s="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5" customHeight="1">
      <c r="A55" s="74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5" customHeight="1">
      <c r="A56" s="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ht="15" customHeight="1">
      <c r="A57" s="5"/>
    </row>
    <row r="72" spans="10:14" ht="15" customHeight="1">
      <c r="J72" s="69"/>
      <c r="K72" s="69"/>
      <c r="L72" s="47"/>
      <c r="M72" s="47"/>
      <c r="N72" s="47"/>
    </row>
    <row r="79" ht="15" customHeight="1">
      <c r="B79" s="20"/>
    </row>
  </sheetData>
  <mergeCells count="1">
    <mergeCell ref="J8:N8"/>
  </mergeCells>
  <printOptions/>
  <pageMargins left="0.75" right="0.5" top="0.75" bottom="0.5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Taseer Hadi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aijaz shaikh</cp:lastModifiedBy>
  <cp:lastPrinted>2006-11-22T09:21:13Z</cp:lastPrinted>
  <dcterms:created xsi:type="dcterms:W3CDTF">2001-01-12T16:58:23Z</dcterms:created>
  <dcterms:modified xsi:type="dcterms:W3CDTF">2006-11-22T09:26:03Z</dcterms:modified>
  <cp:category/>
  <cp:version/>
  <cp:contentType/>
  <cp:contentStatus/>
</cp:coreProperties>
</file>