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6195" windowHeight="6180" tabRatio="603" firstSheet="20" activeTab="24"/>
  </bookViews>
  <sheets>
    <sheet name="00" sheetId="1" state="veryHidden" r:id="rId1"/>
    <sheet name="BS-ISS" sheetId="2" r:id="rId2"/>
    <sheet name="BS-BAN" sheetId="3" r:id="rId3"/>
    <sheet name="P AND L " sheetId="4" r:id="rId4"/>
    <sheet name="Cashflow" sheetId="5" r:id="rId5"/>
    <sheet name="ST OF EQ" sheetId="6" r:id="rId6"/>
    <sheet name="NOTE 5 - 6.5" sheetId="7" r:id="rId7"/>
    <sheet name="NOTE 7 - 12.2" sheetId="8" r:id="rId8"/>
    <sheet name="Note 12.3 - 12.3.6" sheetId="9" r:id="rId9"/>
    <sheet name="NOTE 13 - 17" sheetId="10" r:id="rId10"/>
    <sheet name="NOTE 17.1 - 17.4" sheetId="11" r:id="rId11"/>
    <sheet name="NOTE 18 - 19.1" sheetId="12" r:id="rId12"/>
    <sheet name="NOTE 19.2 - 21" sheetId="13" r:id="rId13"/>
    <sheet name="Note 21.1 - 24.1" sheetId="14" r:id="rId14"/>
    <sheet name="NOTE 25 - 26.1" sheetId="15" r:id="rId15"/>
    <sheet name="NOTE 26.2 - 27.1" sheetId="16" r:id="rId16"/>
    <sheet name="NOTE 27.2 - 32" sheetId="17" r:id="rId17"/>
    <sheet name="NOTE 33 - 34" sheetId="18" r:id="rId18"/>
    <sheet name="NOTE 35 - 39" sheetId="19" r:id="rId19"/>
    <sheet name="NOTE 40 - 41.1 " sheetId="20" r:id="rId20"/>
    <sheet name="NOTE 41.2 - 41.2.3" sheetId="21" r:id="rId21"/>
    <sheet name="NOTE 42.3 - 44" sheetId="22" r:id="rId22"/>
    <sheet name="NOTE 44 - 45" sheetId="23" r:id="rId23"/>
    <sheet name="NOTE 46" sheetId="24" r:id="rId24"/>
    <sheet name="NOTE 46.1 - 51" sheetId="25" r:id="rId25"/>
  </sheets>
  <externalReferences>
    <externalReference r:id="rId28"/>
  </externalReferences>
  <definedNames>
    <definedName name="_xlnm.Print_Area" localSheetId="2">'BS-BAN'!$A$1:$M$57</definedName>
    <definedName name="_xlnm.Print_Area" localSheetId="1">'BS-ISS'!$A$1:$J$40</definedName>
    <definedName name="_xlnm.Print_Area" localSheetId="4">'Cashflow'!$A$1:$M$55</definedName>
    <definedName name="_xlnm.Print_Area" localSheetId="8">'Note 12.3 - 12.3.6'!$A$1:$O$51</definedName>
    <definedName name="_xlnm.Print_Area" localSheetId="9">'NOTE 13 - 17'!$A$1:$K$49</definedName>
    <definedName name="_xlnm.Print_Area" localSheetId="10">'NOTE 17.1 - 17.4'!$A$1:$N$51</definedName>
    <definedName name="_xlnm.Print_Area" localSheetId="11">'NOTE 18 - 19.1'!$A$1:$X$99</definedName>
    <definedName name="_xlnm.Print_Area" localSheetId="13">'Note 21.1 - 24.1'!$A$1:$J$99</definedName>
    <definedName name="_xlnm.Print_Area" localSheetId="14">'NOTE 25 - 26.1'!$A$1:$G$46</definedName>
    <definedName name="_xlnm.Print_Area" localSheetId="15">'NOTE 26.2 - 27.1'!$A$1:$G$43</definedName>
    <definedName name="_xlnm.Print_Area" localSheetId="16">'NOTE 27.2 - 32'!$A$1:$N$88</definedName>
    <definedName name="_xlnm.Print_Area" localSheetId="17">'NOTE 33 - 34'!$A$1:$O$47</definedName>
    <definedName name="_xlnm.Print_Area" localSheetId="18">'NOTE 35 - 39'!$A$1:$L$45</definedName>
    <definedName name="_xlnm.Print_Area" localSheetId="19">'NOTE 40 - 41.1 '!$A$1:$L$57</definedName>
    <definedName name="_xlnm.Print_Area" localSheetId="20">'NOTE 41.2 - 41.2.3'!$A$1:$M$48</definedName>
    <definedName name="_xlnm.Print_Area" localSheetId="21">'NOTE 42.3 - 44'!$A$1:$L$43</definedName>
    <definedName name="_xlnm.Print_Area" localSheetId="22">'NOTE 44 - 45'!$A$1:$F$26</definedName>
    <definedName name="_xlnm.Print_Area" localSheetId="23">'NOTE 46'!$A$1:$P$72</definedName>
    <definedName name="_xlnm.Print_Area" localSheetId="24">'NOTE 46.1 - 51'!$A$1:$I$140</definedName>
    <definedName name="_xlnm.Print_Area" localSheetId="6">'NOTE 5 - 6.5'!$A$1:$N$41</definedName>
    <definedName name="_xlnm.Print_Area" localSheetId="7">'NOTE 7 - 12.2'!$A$1:$P$97</definedName>
    <definedName name="_xlnm.Print_Area" localSheetId="5">'ST OF EQ'!$A$1:$AB$54</definedName>
  </definedNames>
  <calcPr fullCalcOnLoad="1"/>
</workbook>
</file>

<file path=xl/comments16.xml><?xml version="1.0" encoding="utf-8"?>
<comments xmlns="http://schemas.openxmlformats.org/spreadsheetml/2006/main">
  <authors>
    <author>Zahid Saeed Sabir Taji</author>
  </authors>
  <commentList>
    <comment ref="G30" authorId="0">
      <text>
        <r>
          <rPr>
            <b/>
            <sz val="8"/>
            <rFont val="Tahoma"/>
            <family val="0"/>
          </rPr>
          <t xml:space="preserve">NIBAF balance 10,544
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NIBAF balance 10,544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<sst xmlns="http://schemas.openxmlformats.org/spreadsheetml/2006/main" count="1306" uniqueCount="946">
  <si>
    <t xml:space="preserve">These are free of interest and represent amounts kept in separate special accounts to meet </t>
  </si>
  <si>
    <t>forthcoming foreign currency debt repayment obligations of the Government of Pakistan.</t>
  </si>
  <si>
    <t>Property, plant and equipment</t>
  </si>
  <si>
    <t>Surplus on revaluation of property, plant and equipment</t>
  </si>
  <si>
    <t>of Directors of the Bank.</t>
  </si>
  <si>
    <t xml:space="preserve">The above assets were allocated to the Government of Pakistan as its share of the assets of Reserve </t>
  </si>
  <si>
    <t xml:space="preserve">Bank of India under the provisions of Pakistan (Monetary System and Reserve Bank) Order, 1947. The </t>
  </si>
  <si>
    <t xml:space="preserve">transfer of these assets to the Bank is subject to final settlement between the Governments of Pakistan </t>
  </si>
  <si>
    <t xml:space="preserve">and India.   </t>
  </si>
  <si>
    <t>The interest / mark-up rate profile of the interest / mark-up bearing loans and advances is as follows:</t>
  </si>
  <si>
    <t xml:space="preserve">  currency swap arrangements</t>
  </si>
  <si>
    <t xml:space="preserve">  risk coverage scheme </t>
  </si>
  <si>
    <t xml:space="preserve">  INSTITUTIONS</t>
  </si>
  <si>
    <t>----------------------------- (Rupees in '000) -----------------------------</t>
  </si>
  <si>
    <t>----------------- (Rupees in '000) -----------------</t>
  </si>
  <si>
    <t>---------------------------------------------------------------(Rupees in '000) ---------------------------------------------------------------</t>
  </si>
  <si>
    <t>Transfer at revaluation</t>
  </si>
  <si>
    <t>Revaluation during the year</t>
  </si>
  <si>
    <t>Transferred at revaluation</t>
  </si>
  <si>
    <t>--------------------------------------------------------------- (Rupees in '000) ---------------------------------------------------------------</t>
  </si>
  <si>
    <t xml:space="preserve">These represent rupee counterpart of the foreign currency loan disbursements received from various </t>
  </si>
  <si>
    <t xml:space="preserve">international financial institutions on behalf of the Government and credited to separate deposit </t>
  </si>
  <si>
    <t xml:space="preserve">accounts in accordance with the instructions of the Government. </t>
  </si>
  <si>
    <t xml:space="preserve">Amounts due to financial institutions under currency </t>
  </si>
  <si>
    <t xml:space="preserve">  swap arrangements</t>
  </si>
  <si>
    <t xml:space="preserve">UNREALISED APPRECIATION ON GOLD </t>
  </si>
  <si>
    <t xml:space="preserve">  RESERVES</t>
  </si>
  <si>
    <t>Gold reserves are revalued under the State Bank of Pakistan Act, 1956 and State Bank of Pakistan</t>
  </si>
  <si>
    <t xml:space="preserve">General Regulations at the closing market rate fixed on the last working day of the year in London. </t>
  </si>
  <si>
    <t>______________________</t>
  </si>
  <si>
    <t>Discount income received</t>
  </si>
  <si>
    <t>Library Book</t>
  </si>
  <si>
    <t>- Appreciation from revaluation during the year</t>
  </si>
  <si>
    <t>------------------------------------------- (Rupees in '000) -------------------------------------------</t>
  </si>
  <si>
    <t>Annual rate of depreciation %</t>
  </si>
  <si>
    <t>Annual rate  of  amortisation  %</t>
  </si>
  <si>
    <t xml:space="preserve">Exchange loss payable under exchange risk </t>
  </si>
  <si>
    <t xml:space="preserve">  coverage scheme</t>
  </si>
  <si>
    <t>Postages, telegram / telex and telephone</t>
  </si>
  <si>
    <t>an un-funded gratuity scheme for all employees other than those who opted for the new general</t>
  </si>
  <si>
    <t>provident fund scheme or joined the Bank after 1975 and are entitled to pension scheme benefits;</t>
  </si>
  <si>
    <t>M. Yousuf</t>
  </si>
  <si>
    <t>Adil Saleem</t>
  </si>
  <si>
    <t>&amp; Co.</t>
  </si>
  <si>
    <t>Taseer Hadi</t>
  </si>
  <si>
    <t>Charge for the year</t>
  </si>
  <si>
    <t>Net recognised</t>
  </si>
  <si>
    <t>liability at</t>
  </si>
  <si>
    <t>Payments during the</t>
  </si>
  <si>
    <t xml:space="preserve">Share of profit on finances under profit and loss sharing </t>
  </si>
  <si>
    <t>ESAF commitment with IMF</t>
  </si>
  <si>
    <t xml:space="preserve">- Open market operations (including currency swap </t>
  </si>
  <si>
    <t xml:space="preserve">    arrangements)</t>
  </si>
  <si>
    <t xml:space="preserve">- </t>
  </si>
  <si>
    <t>an un-funded pension scheme;</t>
  </si>
  <si>
    <t>an un-funded contributory benevolent fund scheme; and</t>
  </si>
  <si>
    <t>an un-funded post retirement medical benefit scheme.</t>
  </si>
  <si>
    <t>Unrecognised actuarial gain / (loss)</t>
  </si>
  <si>
    <t xml:space="preserve">Present values of obligations under the retirement benefit schemes and liabilities recognised </t>
  </si>
  <si>
    <t xml:space="preserve">as of that date was as follows: </t>
  </si>
  <si>
    <t>During the year the actuarial valuations of the above defined benefit obligations were carried out</t>
  </si>
  <si>
    <t xml:space="preserve">- Issue Department  </t>
  </si>
  <si>
    <t>- Banking Department</t>
  </si>
  <si>
    <t xml:space="preserve">   under quota arrangements</t>
  </si>
  <si>
    <t xml:space="preserve">Reserve tranche with the International Monetary Fund </t>
  </si>
  <si>
    <t>Indian notes representing assets receivable from</t>
  </si>
  <si>
    <t>over the term of lease</t>
  </si>
  <si>
    <t>Non interest/ mark-up bearing</t>
  </si>
  <si>
    <t>20.</t>
  </si>
  <si>
    <t>45.</t>
  </si>
  <si>
    <t>46.</t>
  </si>
  <si>
    <t>Borrowings under:</t>
  </si>
  <si>
    <t>Scheduled banks</t>
  </si>
  <si>
    <t>Unearned exchange risk fee</t>
  </si>
  <si>
    <t>Remittance clearance account</t>
  </si>
  <si>
    <t>Printing charges</t>
  </si>
  <si>
    <t>Agency commission</t>
  </si>
  <si>
    <t>22.</t>
  </si>
  <si>
    <t>21.</t>
  </si>
  <si>
    <t>23.</t>
  </si>
  <si>
    <t>Other deposits and accounts</t>
  </si>
  <si>
    <t>Provident fund scheme</t>
  </si>
  <si>
    <t>Benevolent fund scheme</t>
  </si>
  <si>
    <t>24.</t>
  </si>
  <si>
    <t>Provision for employees' compensated absences</t>
  </si>
  <si>
    <t>25.</t>
  </si>
  <si>
    <t>Number of shares</t>
  </si>
  <si>
    <t>26.</t>
  </si>
  <si>
    <t>Other Funds</t>
  </si>
  <si>
    <t>27.</t>
  </si>
  <si>
    <t>28.</t>
  </si>
  <si>
    <t>Contingencies</t>
  </si>
  <si>
    <t>Government</t>
  </si>
  <si>
    <t>Syed Hussain</t>
  </si>
  <si>
    <t>22.1</t>
  </si>
  <si>
    <t>37.</t>
  </si>
  <si>
    <t xml:space="preserve">Commitments </t>
  </si>
  <si>
    <t>-</t>
  </si>
  <si>
    <t>Investments</t>
  </si>
  <si>
    <t>i)</t>
  </si>
  <si>
    <t>ii)</t>
  </si>
  <si>
    <t>a)</t>
  </si>
  <si>
    <t>b)</t>
  </si>
  <si>
    <t>Note</t>
  </si>
  <si>
    <t>ASSETS</t>
  </si>
  <si>
    <t xml:space="preserve">Investments </t>
  </si>
  <si>
    <t>Loans, advances and bills of exchange</t>
  </si>
  <si>
    <t>Balance payable to the Government of Pakistan</t>
  </si>
  <si>
    <t>Dividend payable</t>
  </si>
  <si>
    <t>Assets held with the Reserve Bank of India</t>
  </si>
  <si>
    <t>34.1</t>
  </si>
  <si>
    <t>34.2</t>
  </si>
  <si>
    <t>42.2</t>
  </si>
  <si>
    <t>42.2.1</t>
  </si>
  <si>
    <t>42.2.2</t>
  </si>
  <si>
    <t>42.2.3</t>
  </si>
  <si>
    <t>(note 42.3)</t>
  </si>
  <si>
    <t>42.3</t>
  </si>
  <si>
    <t>42.4</t>
  </si>
  <si>
    <t>43.1</t>
  </si>
  <si>
    <t>47.</t>
  </si>
  <si>
    <t>On balance sheet gap</t>
  </si>
  <si>
    <t>47.1</t>
  </si>
  <si>
    <t>policies and procedures for managing these risks are outlined in notes 47.1.1 to 47.1.4. The Bank</t>
  </si>
  <si>
    <t>47.1.1</t>
  </si>
  <si>
    <t>47.1.2</t>
  </si>
  <si>
    <t>47.1.3</t>
  </si>
  <si>
    <t>47.1.4</t>
  </si>
  <si>
    <t>47.2</t>
  </si>
  <si>
    <t>sources of estimation are disclosed in note 43.2 to the financial statements.</t>
  </si>
  <si>
    <t>52.</t>
  </si>
  <si>
    <t>The annexed notes 1 to 52 form an integral part of these financial statements.</t>
  </si>
  <si>
    <t xml:space="preserve">Rs 3,421.587 million as mentioned in note 43.1 to the financial statements. </t>
  </si>
  <si>
    <t>Intangible assets</t>
  </si>
  <si>
    <t>Other assets</t>
  </si>
  <si>
    <t>Bank notes in circulation</t>
  </si>
  <si>
    <t>Bills payable</t>
  </si>
  <si>
    <t>(% per annum)</t>
  </si>
  <si>
    <t>National Bank of Pakistan</t>
  </si>
  <si>
    <t>valuation carried out under the projected unit credit method amounted to Rs. 2,155 million (2005: Rs. 2,031</t>
  </si>
  <si>
    <t>Habib Bank Limited</t>
  </si>
  <si>
    <t>Equity Participation Fund</t>
  </si>
  <si>
    <t>Securities sold under agreement to re-purchase</t>
  </si>
  <si>
    <t>- investments</t>
  </si>
  <si>
    <t>Other liabilities</t>
  </si>
  <si>
    <t>Deferred liability - staff retirement benefits</t>
  </si>
  <si>
    <t>Total liabilities</t>
  </si>
  <si>
    <t>Share capital</t>
  </si>
  <si>
    <t>Reserves</t>
  </si>
  <si>
    <t>Provincial Governments</t>
  </si>
  <si>
    <t>Provision against diminution in value of investments</t>
  </si>
  <si>
    <t>%</t>
  </si>
  <si>
    <t xml:space="preserve">ASSETS HELD WITH THE RESERVE </t>
  </si>
  <si>
    <t>18.</t>
  </si>
  <si>
    <t>Other provisions</t>
  </si>
  <si>
    <t>Movement of other provisions</t>
  </si>
  <si>
    <t>Reversed during the year</t>
  </si>
  <si>
    <t>Above balances include Rs. 548.518 million (2005: Rs. 518.806 million) which are recoverable from various</t>
  </si>
  <si>
    <t>Classified as a receivable balance</t>
  </si>
  <si>
    <t>Deputy Governor</t>
  </si>
  <si>
    <t>Aftab Mustafa Khan</t>
  </si>
  <si>
    <t>Director Accounts</t>
  </si>
  <si>
    <t>Liabilities and provisions written back - net</t>
  </si>
  <si>
    <t xml:space="preserve">Charges on allocation of Special Drawing Rights </t>
  </si>
  <si>
    <t>Profit for the year after non-cash items</t>
  </si>
  <si>
    <t>National Institute of Banking and</t>
  </si>
  <si>
    <t>SBP Banking Services Corporation</t>
  </si>
  <si>
    <t xml:space="preserve">  Finance (Guarantee) Limited</t>
  </si>
  <si>
    <t>Traveling and recreation expenses</t>
  </si>
  <si>
    <t>Portfolio risk management</t>
  </si>
  <si>
    <t>0.87 to 2.13</t>
  </si>
  <si>
    <t>1.79 to 3.6</t>
  </si>
  <si>
    <t>2.96 to 4.74</t>
  </si>
  <si>
    <t xml:space="preserve">Interest profile of payable to IMF is as under: </t>
  </si>
  <si>
    <t xml:space="preserve">Fund facilities </t>
  </si>
  <si>
    <t>Other credit schemes</t>
  </si>
  <si>
    <t>1.72 to 2.40</t>
  </si>
  <si>
    <t>Additions / (deletions) / transfers* during the year</t>
  </si>
  <si>
    <t>Present value of the defined benefit obligation</t>
  </si>
  <si>
    <t xml:space="preserve">Gratuity </t>
  </si>
  <si>
    <t>Current service cost</t>
  </si>
  <si>
    <t>Interest cost</t>
  </si>
  <si>
    <t>Employees' compensated absences</t>
  </si>
  <si>
    <t>Risk management policies</t>
  </si>
  <si>
    <t>Federal Government</t>
  </si>
  <si>
    <t>Fertilizer account</t>
  </si>
  <si>
    <t>Food account</t>
  </si>
  <si>
    <t>Government deposit account no. XII</t>
  </si>
  <si>
    <t>Provincial Government - Punjab</t>
  </si>
  <si>
    <t>Others</t>
  </si>
  <si>
    <t>District Government account no. IV</t>
  </si>
  <si>
    <t>Provincial Government - Sindh</t>
  </si>
  <si>
    <t>Provincial Government - NWFP</t>
  </si>
  <si>
    <t>Federal Bank for Cooperatives</t>
  </si>
  <si>
    <t>- Opening balance</t>
  </si>
  <si>
    <t>Provincial Government - Balochistan</t>
  </si>
  <si>
    <t xml:space="preserve">  arrangements</t>
  </si>
  <si>
    <t xml:space="preserve">   Fund under quota arrangements</t>
  </si>
  <si>
    <t>Government owned / controlled bodies and authorities</t>
  </si>
  <si>
    <t xml:space="preserve"> - North West Frontier Province (NWFP)</t>
  </si>
  <si>
    <t>Current accounts of the Government</t>
  </si>
  <si>
    <t>Net credit balance</t>
  </si>
  <si>
    <t>Capital Grant</t>
  </si>
  <si>
    <t>Special Drawing Rights (SDRs) are the foreign reserve assets which are allocated  by the</t>
  </si>
  <si>
    <t>International Monetary Fund (IMF) to its member countries in proportion to their quota in the Fund. In</t>
  </si>
  <si>
    <t>-------------------------------------------------(Rupees in '000) -------------------------------------------------</t>
  </si>
  <si>
    <t>State Bank of Pakistan and its Subsidiaries</t>
  </si>
  <si>
    <t>Consolidated Cash Flow Statement</t>
  </si>
  <si>
    <t>Consolidated Profit and Loss Account</t>
  </si>
  <si>
    <t>Consolidated Balance Sheet</t>
  </si>
  <si>
    <t xml:space="preserve">   Ordinary shares of Rs. 100 each</t>
  </si>
  <si>
    <t xml:space="preserve">   Fully paid-up ordinary shares of Rs. 100 each </t>
  </si>
  <si>
    <t>Securities sold under an agreement to repurchase</t>
  </si>
  <si>
    <t>addition, the member countries can purchase the SDRs from the IMF and other member countries in</t>
  </si>
  <si>
    <t>78.5 million) which are held in Bangladesh (former East Pakistan). The realisability of the underlying</t>
  </si>
  <si>
    <t>amount is subject to final settlement between the Governments of Pakistan and Bangladesh (Former</t>
  </si>
  <si>
    <t xml:space="preserve">East Pakistan). </t>
  </si>
  <si>
    <t xml:space="preserve">RESERVE TRANCHE WITH THE </t>
  </si>
  <si>
    <t>* The Central Board has proposed to transfer Rs. 19,142 million to the Reserve fund after approval of the Federal Government.</t>
  </si>
  <si>
    <t xml:space="preserve">  INTERNATIONAL MONETARY FUND </t>
  </si>
  <si>
    <t xml:space="preserve">  UNDER QUOTA ARRANGEMENTS</t>
  </si>
  <si>
    <t>19.</t>
  </si>
  <si>
    <t xml:space="preserve">PAYABLE TO INTERNATIONAL </t>
  </si>
  <si>
    <t>Investment held to maturity-Pakistan Investment Bonds</t>
  </si>
  <si>
    <t xml:space="preserve">Home </t>
  </si>
  <si>
    <t>remittance</t>
  </si>
  <si>
    <t>Mansur-ur-Rehman Khan</t>
  </si>
  <si>
    <t xml:space="preserve">GENERAL ADMINISTRATIVE AND </t>
  </si>
  <si>
    <t xml:space="preserve">  OTHER EXPENSES</t>
  </si>
  <si>
    <t>License / Credit Information Bureau fee recovered</t>
  </si>
  <si>
    <t>Credit risk management</t>
  </si>
  <si>
    <t>Currency risk management</t>
  </si>
  <si>
    <t>6.</t>
  </si>
  <si>
    <t>13.</t>
  </si>
  <si>
    <t>15.</t>
  </si>
  <si>
    <t>24.1</t>
  </si>
  <si>
    <t>(Increase) / decrease in assets</t>
  </si>
  <si>
    <t>Increase / (decrease) in liabilities</t>
  </si>
  <si>
    <t>Reserve fund</t>
  </si>
  <si>
    <t>Rural credit fund</t>
  </si>
  <si>
    <t>Industrial credit fund</t>
  </si>
  <si>
    <t>Export credit fund</t>
  </si>
  <si>
    <t>Loans guarantee fund</t>
  </si>
  <si>
    <t>Housing credit fund</t>
  </si>
  <si>
    <t>Interest/ mark-up bearing</t>
  </si>
  <si>
    <t>*  Bank notes have been assumed to have a maturity of more than one year other than those demonetised.</t>
  </si>
  <si>
    <t xml:space="preserve">These represent certain foreign currency balances held with the banks and financial institutions </t>
  </si>
  <si>
    <t xml:space="preserve">These represent Pak Rupee equivalent of Indian rupee notes which were in circulation in Pakistan </t>
  </si>
  <si>
    <t xml:space="preserve">until retirement from circulation and are to be repatriated to India under the Monetary Order from </t>
  </si>
  <si>
    <t xml:space="preserve">the Government of Pakistan. Realisability of these assets is subject to final settlement between the </t>
  </si>
  <si>
    <t>Changes in equity for 2004-05</t>
  </si>
  <si>
    <t xml:space="preserve">Total recognised income and </t>
  </si>
  <si>
    <t>expense for the year</t>
  </si>
  <si>
    <t>Changes in equity for 2005-06</t>
  </si>
  <si>
    <t xml:space="preserve">Governments of Pakistan and India. </t>
  </si>
  <si>
    <t>PROFIT FOR THE YEAR</t>
  </si>
  <si>
    <t>OPERATING PROFIT</t>
  </si>
  <si>
    <t>9.</t>
  </si>
  <si>
    <t xml:space="preserve">As mentioned in note 4.1, the Bank is responsible for issuing coins of various denominations on </t>
  </si>
  <si>
    <t>Cost / revalued amount at         June 30</t>
  </si>
  <si>
    <t>Accumulated depreciation at June 30</t>
  </si>
  <si>
    <t>Net book value at June 30</t>
  </si>
  <si>
    <t>Cost at         June 30</t>
  </si>
  <si>
    <t>Accumulated  amortisation at June 30</t>
  </si>
  <si>
    <t>(note 27.2.1)</t>
  </si>
  <si>
    <r>
      <t>This represents grant received for capital expenditure and, as indicated in note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4.9 to these financial</t>
    </r>
  </si>
  <si>
    <t>34.</t>
  </si>
  <si>
    <t xml:space="preserve">BANK OF INDIA </t>
  </si>
  <si>
    <t xml:space="preserve">As mentioned in note 4.8, the Bank operates the following staff retirement benefit schemes: </t>
  </si>
  <si>
    <t>Expected rate of increase in salary 8.7 (2005: 9.5) percent per annum.</t>
  </si>
  <si>
    <t>Expected rate of discount 10.8 (2005: 11.6) percent per annum.</t>
  </si>
  <si>
    <t>Medical cost increase 5.5 (2005: 6.3) percent per annum.</t>
  </si>
  <si>
    <t xml:space="preserve">behalf of the Government. The closing balance represents the face value of unissued coins held by </t>
  </si>
  <si>
    <t xml:space="preserve">  FROM THE RESERVE BANK OF INDIA</t>
  </si>
  <si>
    <t xml:space="preserve">  issue department</t>
  </si>
  <si>
    <t>LIABILITY</t>
  </si>
  <si>
    <t>Commission income</t>
  </si>
  <si>
    <t>Unappropriated profit</t>
  </si>
  <si>
    <t xml:space="preserve">Held for trading </t>
  </si>
  <si>
    <t xml:space="preserve">Held to maturity </t>
  </si>
  <si>
    <t>KPMG</t>
  </si>
  <si>
    <t>2006</t>
  </si>
  <si>
    <t xml:space="preserve">there against for the past services of the employees at June 30, 2006 based on actuarial valuation </t>
  </si>
  <si>
    <t xml:space="preserve">Available for sale </t>
  </si>
  <si>
    <t xml:space="preserve">Listed </t>
  </si>
  <si>
    <t xml:space="preserve">Unlisted </t>
  </si>
  <si>
    <t xml:space="preserve">Investments in shares of banks and other </t>
  </si>
  <si>
    <t>Commercial papers held in issue department</t>
  </si>
  <si>
    <t>These represent loans and advances provided to the Government of Bangladesh (former East Pakistan).</t>
  </si>
  <si>
    <t>International organisations</t>
  </si>
  <si>
    <t xml:space="preserve">Certain employees of the Bank who had retired under the Early Retirement Incentive Scheme </t>
  </si>
  <si>
    <t xml:space="preserve">(ERIS) introduced in the year 2000 had filed a case against the Bank in the Federal Services </t>
  </si>
  <si>
    <t>Tribunal for the enhancement of their entitlement paid under the above scheme.  The Tribunal</t>
  </si>
  <si>
    <t>has decided the case in favour of these employees and has directed that the entitlement under</t>
  </si>
  <si>
    <t>the above scheme should include the effect of subsequent increases in certain staff retirement</t>
  </si>
  <si>
    <t>and other benefits. The Bank, in response to the above decision of the Tribunal, has filed a civil</t>
  </si>
  <si>
    <t>petition for leave to appeal in the Supreme Court of Pakistan which is pending for hearing. The</t>
  </si>
  <si>
    <t>Above assets included Rs. 173.773 million (2005: Rs. 183.167 million) recoverable from the Government</t>
  </si>
  <si>
    <t>of India. Realisability of these assets is subject to final settlement between the Governments of Pakistan</t>
  </si>
  <si>
    <t xml:space="preserve">and India. </t>
  </si>
  <si>
    <r>
      <t xml:space="preserve">These financial statements were authorised for issue on </t>
    </r>
    <r>
      <rPr>
        <b/>
        <u val="single"/>
        <sz val="11"/>
        <rFont val="Times New Roman"/>
        <family val="1"/>
      </rPr>
      <t>September 7, 2006</t>
    </r>
    <r>
      <rPr>
        <sz val="11"/>
        <rFont val="Times New Roman"/>
        <family val="1"/>
      </rPr>
      <t xml:space="preserve"> by the Central Board </t>
    </r>
  </si>
  <si>
    <t>management is confident that the Bank would not have to bear any additional expenditure on this</t>
  </si>
  <si>
    <t>Above guarantees are secured by counter guarantees either from the Government of Pakistan or</t>
  </si>
  <si>
    <t xml:space="preserve">local financial institutions.  </t>
  </si>
  <si>
    <t>Available for sale investments</t>
  </si>
  <si>
    <t>United Bank Limited</t>
  </si>
  <si>
    <t>CURRENT ACCOUNTS OF THE GOVERNMENTS</t>
  </si>
  <si>
    <t>Repairs and maintenance</t>
  </si>
  <si>
    <t xml:space="preserve">These represent investments guaranteed / issued by the Government. The profile of return on securities </t>
  </si>
  <si>
    <t xml:space="preserve">during the year is as follows: </t>
  </si>
  <si>
    <t>Contribution to SBP Employees' Welfare Trust</t>
  </si>
  <si>
    <t>will not incur any liability on this account, as such no provision has been made against the claim.</t>
  </si>
  <si>
    <t>Liquidity risk management</t>
  </si>
  <si>
    <t xml:space="preserve">Foreign currency reserves </t>
  </si>
  <si>
    <t>Bank notes issued</t>
  </si>
  <si>
    <t xml:space="preserve">        - other receivables</t>
  </si>
  <si>
    <t>Appreciation during the year due to revaluation</t>
  </si>
  <si>
    <t>Bank notes held by the Banking Department</t>
  </si>
  <si>
    <t>Ordinary shares</t>
  </si>
  <si>
    <t>Rupee coins held as assets of the Issue Department</t>
  </si>
  <si>
    <t>(Rupees in '000)</t>
  </si>
  <si>
    <t>Forward exchange contracts - sales</t>
  </si>
  <si>
    <t>5.</t>
  </si>
  <si>
    <t>Liability under quota arrangements</t>
  </si>
  <si>
    <t>Private sector financial institutions</t>
  </si>
  <si>
    <t>Government owned / controlled financial institutions</t>
  </si>
  <si>
    <t>14.</t>
  </si>
  <si>
    <t>12.</t>
  </si>
  <si>
    <t>7.9447 to 8.4869</t>
  </si>
  <si>
    <t>Allied Bank Limited</t>
  </si>
  <si>
    <t>1.0 to 12</t>
  </si>
  <si>
    <t>2.34 to 4.11</t>
  </si>
  <si>
    <t>3.28 to 5.51</t>
  </si>
  <si>
    <t>3.75 to 4.90</t>
  </si>
  <si>
    <t xml:space="preserve">These include investments made in international market through reputable Fund Managers. The activities </t>
  </si>
  <si>
    <t xml:space="preserve">of the Fund Managers are being monitored through custodians. Market value of these investments as at </t>
  </si>
  <si>
    <t>June 30, 2006 is equivalent to USD 3,365.9 (2005: USD 3,263.8 ) million.</t>
  </si>
  <si>
    <t>the Bank at June 30, 2006.</t>
  </si>
  <si>
    <t>This includes securities having carrying value of Rs. 62,098.533 million (2005: Rs. 1,234.030 million)</t>
  </si>
  <si>
    <t xml:space="preserve">amounted to Rs. 114,906.093 million (2005: Rs.  47,966.850 million). </t>
  </si>
  <si>
    <t>The break-up value of the Bank's investment in the shares of Habib Bank Limited amounted to Rs.</t>
  </si>
  <si>
    <t xml:space="preserve">the year then ended.  </t>
  </si>
  <si>
    <t>These represent face value of certain commercial papers amounting to Rs. 78.5 million (2005: Rs.</t>
  </si>
  <si>
    <t>These facilities are secured by demand promissory notes issued by the Government of Pakistan.</t>
  </si>
  <si>
    <t>at June 30, 2006 under the projected Unit Credit Method using following significant assumptions:</t>
  </si>
  <si>
    <t>Agricultural sector</t>
  </si>
  <si>
    <t>17.</t>
  </si>
  <si>
    <t>-  Fund facilities</t>
  </si>
  <si>
    <t>-  Other credit schemes</t>
  </si>
  <si>
    <t xml:space="preserve">Post retirement </t>
  </si>
  <si>
    <t xml:space="preserve">  medical benefits</t>
  </si>
  <si>
    <t>Interest / mark-up expense</t>
  </si>
  <si>
    <t>Draft / payment orders</t>
  </si>
  <si>
    <t>- Forward covers under Exchange Risk Coverage Scheme</t>
  </si>
  <si>
    <t xml:space="preserve">- Others </t>
  </si>
  <si>
    <t>Pakistan Railways special account</t>
  </si>
  <si>
    <t>7.</t>
  </si>
  <si>
    <t>8.</t>
  </si>
  <si>
    <t>11.</t>
  </si>
  <si>
    <t>10.</t>
  </si>
  <si>
    <t>Notes held with the Banking Department</t>
  </si>
  <si>
    <t>Furniture and fixtures</t>
  </si>
  <si>
    <t>Foreign currency</t>
  </si>
  <si>
    <t>Other Government securities</t>
  </si>
  <si>
    <t xml:space="preserve">Foreign currency deposits </t>
  </si>
  <si>
    <t>19.1</t>
  </si>
  <si>
    <t>Gold purchased</t>
  </si>
  <si>
    <t>Amortisation during the year</t>
  </si>
  <si>
    <t>Additions during the year</t>
  </si>
  <si>
    <t>Deposits</t>
  </si>
  <si>
    <t>Reserve tranche with the International Monetary Fund under quota arrangements</t>
  </si>
  <si>
    <t>The interest rate profile of the interest bearing deposits is as follows:</t>
  </si>
  <si>
    <t>Other claims against the Bank not acknowledged as debts</t>
  </si>
  <si>
    <t>Local currency</t>
  </si>
  <si>
    <t>Reserve Fund</t>
  </si>
  <si>
    <t>16.</t>
  </si>
  <si>
    <t>Net content in troy ounces</t>
  </si>
  <si>
    <t>Opening balance</t>
  </si>
  <si>
    <t>Current accounts of the Governments</t>
  </si>
  <si>
    <t>Total</t>
  </si>
  <si>
    <t>Gold reserves</t>
  </si>
  <si>
    <t>Sterling securities</t>
  </si>
  <si>
    <t>Government of India securities</t>
  </si>
  <si>
    <t>Notes in circulation</t>
  </si>
  <si>
    <t xml:space="preserve"> </t>
  </si>
  <si>
    <t>Market Treasury Bills</t>
  </si>
  <si>
    <t>Special Government Bonds</t>
  </si>
  <si>
    <t>Closing balance</t>
  </si>
  <si>
    <t>4.74 to 6.62</t>
  </si>
  <si>
    <t xml:space="preserve">Reversal of liability pertaining to demonitization of </t>
  </si>
  <si>
    <t xml:space="preserve"> Rs.5 denominated Bank note</t>
  </si>
  <si>
    <t>Dividend income</t>
  </si>
  <si>
    <t xml:space="preserve">Amounts due from financial institutions under </t>
  </si>
  <si>
    <t>Market Treasury Bills - net</t>
  </si>
  <si>
    <t>Loans and advances to Government</t>
  </si>
  <si>
    <t>Listed</t>
  </si>
  <si>
    <t xml:space="preserve"> - Balochistan</t>
  </si>
  <si>
    <t>Net assets</t>
  </si>
  <si>
    <t>Foreign currency reserves not included in cash and cash equivalents</t>
  </si>
  <si>
    <t>Market value of the Bank's investment in the shares of Allied Bank Limited  at June 30, 2006 amounted</t>
  </si>
  <si>
    <t xml:space="preserve">- Indian notes representing assets receivable </t>
  </si>
  <si>
    <t xml:space="preserve">    from the Reserve Bank of India</t>
  </si>
  <si>
    <t>Payment of retirement benefits and employees' compensated absences</t>
  </si>
  <si>
    <t>2005</t>
  </si>
  <si>
    <t>As at June 30, 2006</t>
  </si>
  <si>
    <t>financial institutions operating in former East Pakistan. The realisability of these balances is subject to final</t>
  </si>
  <si>
    <t xml:space="preserve">settlement between the Governments of Pakistan and Bangladesh (former East Pakistan). </t>
  </si>
  <si>
    <t>Exposure to the agricultural and industrial sectors respectively include Rs. 50,174.089 million and Rs. 1,083.124</t>
  </si>
  <si>
    <t>million representing the cumulative Government guaranteed financing of Rs. 51,257.213 million (2005: Rs.</t>
  </si>
  <si>
    <t>51,257.213 million) to Zarai Taraqiati Bank Limited (ZTBL). The restructuring of ZTBL is in progress and</t>
  </si>
  <si>
    <t xml:space="preserve">detailed terms of repayment of these finances are expected to be finalized in due course. </t>
  </si>
  <si>
    <t>Investments in Banks and other financial institutions</t>
  </si>
  <si>
    <t>Investments in Government securities</t>
  </si>
  <si>
    <t xml:space="preserve">Amortisation for the year </t>
  </si>
  <si>
    <t>Software    2006</t>
  </si>
  <si>
    <t>36.</t>
  </si>
  <si>
    <t>The following is a movement in the net recognised liability in respect of the defined benefit schemes:</t>
  </si>
  <si>
    <t>---------------------------- (Rupees in '000) ----------------------------</t>
  </si>
  <si>
    <t>As at June 30, 2006, the Bank's liability for employees' compensated absences determined through an actuarial</t>
  </si>
  <si>
    <t xml:space="preserve">current period based on the actuarial advice. </t>
  </si>
  <si>
    <t>The amounts charged in the profit and loss account during the current year in respect of the above benefits are</t>
  </si>
  <si>
    <t xml:space="preserve">as follows: </t>
  </si>
  <si>
    <t>Allocation of special drawing rights of the International Monetary Fund</t>
  </si>
  <si>
    <t>Proceeds from disposal of property, plant and equipment</t>
  </si>
  <si>
    <t>Dividend paid to Government of Pakistan</t>
  </si>
  <si>
    <t>Increase/ (decrease) in cash and cash equivalents during the year</t>
  </si>
  <si>
    <t>Allocation of special drawing rights of IMF</t>
  </si>
  <si>
    <t xml:space="preserve">The balance in current and deposit accounts carry interest at various rates ranging between 0.96 to 5.54 </t>
  </si>
  <si>
    <t>which were earmarked to meet specific foreign currency liabilities and commitments of the Bank.</t>
  </si>
  <si>
    <t xml:space="preserve">to Rs. 39,676.443 million (2005: Cost of Rs. 17,023.116 million). </t>
  </si>
  <si>
    <t>paid up capital upto June 30, 2005. The remaining ownership of 12.5% shares has been transferred during the</t>
  </si>
  <si>
    <t>19,046.317 (2005: 18,884.75) million as at 31 December 2005 based on the financial statements of HBL for</t>
  </si>
  <si>
    <t>Employees loans</t>
  </si>
  <si>
    <t>Depreciation for the year on (deletions) / transfers*</t>
  </si>
  <si>
    <t xml:space="preserve">Surplus arose on revaluation as at June 30 </t>
  </si>
  <si>
    <t xml:space="preserve">This represent provision made against various litigation against the Bank. </t>
  </si>
  <si>
    <t>- Payable to the IMF</t>
  </si>
  <si>
    <t>Loss on remeasurement of securities classified as held for trading</t>
  </si>
  <si>
    <t>June 30</t>
  </si>
  <si>
    <t>Actuarial gain recognised</t>
  </si>
  <si>
    <t xml:space="preserve">On balance sheet gap </t>
  </si>
  <si>
    <t>Credit risk is the risk that one party to a financial instrument will fail to discharge an obligation and</t>
  </si>
  <si>
    <t>cause the other party to incur a financial loss. Credit risk in the Bank's portfolio is monitored,</t>
  </si>
  <si>
    <t>reviewed and analysed by the appropriate officials and the exposure is controlled through</t>
  </si>
  <si>
    <t>counterparty and credit limits. Counterparties are allocated to a particular class based mainly on</t>
  </si>
  <si>
    <t>their credit rating. Foreign currency placements are made in approved currencies and government</t>
  </si>
  <si>
    <t>securities. Loans and advances to scheduled banks and financial institutions are usually secured</t>
  </si>
  <si>
    <t>either by Government guarantees or by demand promissory notes. Geographical exposures are</t>
  </si>
  <si>
    <t>controlled by country limits and are updated as and when  necessary with all limits formally</t>
  </si>
  <si>
    <t>reviewed on a periodic basis. The Bank's exposure to credit risk associated with foreign operations</t>
  </si>
  <si>
    <t>is managed by monitoring compliance with investment limits for counterparties. The Bank's credit</t>
  </si>
  <si>
    <t xml:space="preserve">risk mainly lies with exposure towards government sector and financial institutions. </t>
  </si>
  <si>
    <t>Currency risk is the risk that the value of a financial instrument will fluctuate due to changes in</t>
  </si>
  <si>
    <t>foreign exchange rates. Foreign currency activities result mainly from the Bank's holding of</t>
  </si>
  <si>
    <t>foreign currency assets under its foreign reserves management function and the overall level of</t>
  </si>
  <si>
    <t>these assets is determined based on the prevailing extent of credit and liquidity risks. In order to</t>
  </si>
  <si>
    <t>avoid losses arising from adverse changes in the rates of exchange, the Bank's compliance with</t>
  </si>
  <si>
    <t>the limits established for foreign currency positions is being regularly monitored by the</t>
  </si>
  <si>
    <t xml:space="preserve">management. </t>
  </si>
  <si>
    <t>The Bank also holds from time to time, foreign currency assets and liabilities that arise from the</t>
  </si>
  <si>
    <t xml:space="preserve">implementation of domestic monetary policies. Any foreign currency exposure relating to these </t>
  </si>
  <si>
    <t>implementation activities are hedged through the use of foreign currency forwards, swaps and</t>
  </si>
  <si>
    <t xml:space="preserve">other transactions. </t>
  </si>
  <si>
    <t xml:space="preserve">The Bank also enters into forward foreign exchange contracts with the commercial banks and </t>
  </si>
  <si>
    <t xml:space="preserve">financial institutions to hedge against the currency risk on foreign currency swap transactions.  </t>
  </si>
  <si>
    <t>Liquidity risk is the risk that an entity will encounter difficulty in raising funds to meet commitments</t>
  </si>
  <si>
    <t>associated with the financial instruments. In order to reduce the level of liquidity risk arising out of</t>
  </si>
  <si>
    <t>the local currency activities, the Bank manages the daily liquidity position of the banking system</t>
  </si>
  <si>
    <t>including advancing and withdrawal of funds from the system for  smoothening out daily peaks and</t>
  </si>
  <si>
    <t xml:space="preserve">troughs.  </t>
  </si>
  <si>
    <t>The risk arising out of the Bank's obligations for foreign currency balances or deposits is managed</t>
  </si>
  <si>
    <t xml:space="preserve">through available reserves generated mainly from borrowings and open market operations. </t>
  </si>
  <si>
    <t>The Bank has appointed external managers to invest a part of the foreign exchange reserves in</t>
  </si>
  <si>
    <t>international fixed income securities. The external managers are selected after conducting a</t>
  </si>
  <si>
    <t>Total equity</t>
  </si>
  <si>
    <t>Attributable to equity holders of parent</t>
  </si>
  <si>
    <t xml:space="preserve">Grand </t>
  </si>
  <si>
    <t xml:space="preserve">Maturity </t>
  </si>
  <si>
    <t xml:space="preserve">upto one </t>
  </si>
  <si>
    <t>year</t>
  </si>
  <si>
    <t xml:space="preserve">after </t>
  </si>
  <si>
    <t>one year</t>
  </si>
  <si>
    <t xml:space="preserve">Special Drawing Rights of International </t>
  </si>
  <si>
    <t xml:space="preserve">Reserve tranche with the International Monetary </t>
  </si>
  <si>
    <t>Agriculture</t>
  </si>
  <si>
    <t>loan</t>
  </si>
  <si>
    <t>INTANGIBLE ASSETS</t>
  </si>
  <si>
    <t>Other operating income-net</t>
  </si>
  <si>
    <t xml:space="preserve">  realised on disposal</t>
  </si>
  <si>
    <t>Loans and receivables originated by the Bank -</t>
  </si>
  <si>
    <t>State Bank of Pakistan and its Subsidiaries - Issue Department</t>
  </si>
  <si>
    <t>State Bank of Pakistan and its Subsidiaries - Banking Department</t>
  </si>
  <si>
    <t>A claim of Rs. 1,600 million has been lodged against the Bank which has not been acknowledged</t>
  </si>
  <si>
    <t>by the Bank. The Bank has a counter claim of Rs. 493 million. With the mutual agreement of both</t>
  </si>
  <si>
    <t>the parties, matter has been referred to the Arbitrator. Management is confident that the Bank</t>
  </si>
  <si>
    <t>Federal Government scrip</t>
  </si>
  <si>
    <t>*</t>
  </si>
  <si>
    <t xml:space="preserve">Surplus realised on disposal </t>
  </si>
  <si>
    <t>Interest payable</t>
  </si>
  <si>
    <t>32.1</t>
  </si>
  <si>
    <t>32.2</t>
  </si>
  <si>
    <t>ALLOCATION OF SPECIAL DRAWING RIGHTS OF IMF</t>
  </si>
  <si>
    <t>OTHER OPERATING INCOME- net</t>
  </si>
  <si>
    <t>Gain on disposal of property, plant and equipment</t>
  </si>
  <si>
    <t>Indian notes representing assets receivable from the Reserve Bank of India</t>
  </si>
  <si>
    <t xml:space="preserve">Overdue mark-up and return </t>
  </si>
  <si>
    <t>Accrued interest / mark-up and return</t>
  </si>
  <si>
    <t>Pakistan Baitul Mal fund account</t>
  </si>
  <si>
    <t>CHECK</t>
  </si>
  <si>
    <t xml:space="preserve">  MONETARY FUND</t>
  </si>
  <si>
    <t>Forward exchange contracts - purchases</t>
  </si>
  <si>
    <t>Benevolent</t>
  </si>
  <si>
    <t>41.</t>
  </si>
  <si>
    <t>42.</t>
  </si>
  <si>
    <t xml:space="preserve">Federal Government </t>
  </si>
  <si>
    <t>Securities purchased under agreement to resale</t>
  </si>
  <si>
    <t xml:space="preserve">Discount, interest / mark-up and / or return earned </t>
  </si>
  <si>
    <t>Commercial papers held in Bangladesh (former East Pakistan)</t>
  </si>
  <si>
    <t xml:space="preserve">Unrealised appreciation on revaluation of gold reserves </t>
  </si>
  <si>
    <t xml:space="preserve"> during the year</t>
  </si>
  <si>
    <t>Unrealised appreciation on revaluation of gold reserves</t>
  </si>
  <si>
    <t xml:space="preserve">  during the year</t>
  </si>
  <si>
    <t>This represents repurchase agreement lendings and carried markup (2005: 5.65 to 7.98) percent per</t>
  </si>
  <si>
    <t>Cost / revalued amount at
July 01</t>
  </si>
  <si>
    <t>Accumulated depreciation at July 01</t>
  </si>
  <si>
    <t>Electricity, gas and water</t>
  </si>
  <si>
    <t>Legal and professional</t>
  </si>
  <si>
    <t>Fuel</t>
  </si>
  <si>
    <t>Conveyance</t>
  </si>
  <si>
    <t>thorough due diligence by the Bank and externally hired investment consultants, and appointed after</t>
  </si>
  <si>
    <t>the approval of the Board. The mandates awarded to the managers require them to  out form the</t>
  </si>
  <si>
    <t xml:space="preserve">benchmarks which are based on fixed income global aggregate indices. The benchmarks are </t>
  </si>
  <si>
    <t>customized to exclude certain securities, currencies, and maturities to bring it to an acceptable level</t>
  </si>
  <si>
    <t>of risk and within the Bank's approved risk appetite. Managers are provided investment guidelines</t>
  </si>
  <si>
    <t>within which they have to generate excess returns over the benchmark. Such investment guidelines</t>
  </si>
  <si>
    <t>define acceptable level of risk by setting levels and permitting types  of fixed income securities,</t>
  </si>
  <si>
    <t>duration, currencies, maximum issuer limits by issuer types and credit ratings, and other risk</t>
  </si>
  <si>
    <t>parameters. The volatility and quality of portfolio performance is managed through ex-ante and</t>
  </si>
  <si>
    <t>ex-post tracking error, and information ratio,  which is part of the investment guidelines. Safe</t>
  </si>
  <si>
    <t>custody of the portfolio is provided through carefully  selected global custodians who are</t>
  </si>
  <si>
    <t>independent of the portfolio managers. The custodians also provide  valuation, compliance, corporate</t>
  </si>
  <si>
    <t>actions and recovery, and other value added services which are typically provided by such</t>
  </si>
  <si>
    <t>custodians. The valuations provided by the custodians are reconciled with the portfolio managers,</t>
  </si>
  <si>
    <t xml:space="preserve">and recorded accordingly. </t>
  </si>
  <si>
    <t>SECURITIES PURCHASED UNDER AGREEMENT TO RESALE</t>
  </si>
  <si>
    <t xml:space="preserve">  than or equal to 50%</t>
  </si>
  <si>
    <t xml:space="preserve">DISCOUNT, INTEREST / MARK-UP AND / </t>
  </si>
  <si>
    <t xml:space="preserve">  OR RETURN EARNED</t>
  </si>
  <si>
    <t xml:space="preserve">- Foreign currency placements, deposits, securities and </t>
  </si>
  <si>
    <t xml:space="preserve">    other accounts - net </t>
  </si>
  <si>
    <t>statements, is being amortised over the useful lives of the related assets.</t>
  </si>
  <si>
    <t>Note printing charges are paid to Pakistan Security Printing Corporation (Private) Limited at</t>
  </si>
  <si>
    <t>held by the Central Bank of India (held by Deputy Custodian Enemy Property, Banking Supervision</t>
  </si>
  <si>
    <t xml:space="preserve">Department, State Bank of Pakistan) and 500 shares held by the State of Hyderabad. </t>
  </si>
  <si>
    <t>17.3</t>
  </si>
  <si>
    <t>loans, advances and other assets</t>
  </si>
  <si>
    <t>other doubtful assets</t>
  </si>
  <si>
    <t>Provision for other doubtful assets</t>
  </si>
  <si>
    <t>- loans, advances and other assets</t>
  </si>
  <si>
    <t>- other doubtful assets</t>
  </si>
  <si>
    <t>Payable to Government in respect of privatisation proceeds</t>
  </si>
  <si>
    <t>Profit on sale of securities</t>
  </si>
  <si>
    <t xml:space="preserve">Government of Azad Jammu and Kashmir </t>
  </si>
  <si>
    <t>Stationery and stamps on hand</t>
  </si>
  <si>
    <t>Other advances, deposits and prepayments</t>
  </si>
  <si>
    <t>India</t>
  </si>
  <si>
    <t>Import letters of credit</t>
  </si>
  <si>
    <t>6.1 &amp; 6.2</t>
  </si>
  <si>
    <t>6.3 &amp; 6.4</t>
  </si>
  <si>
    <t>6.3  &amp; 6.2</t>
  </si>
  <si>
    <t>6.4</t>
  </si>
  <si>
    <t>6.5</t>
  </si>
  <si>
    <t>6.1</t>
  </si>
  <si>
    <t>6.2</t>
  </si>
  <si>
    <t>6.3</t>
  </si>
  <si>
    <t>15</t>
  </si>
  <si>
    <t>12.1</t>
  </si>
  <si>
    <t>12.2</t>
  </si>
  <si>
    <t>12.3</t>
  </si>
  <si>
    <t>12.3.1</t>
  </si>
  <si>
    <t>12.3.2</t>
  </si>
  <si>
    <t>12.3.3</t>
  </si>
  <si>
    <t>12.3.4</t>
  </si>
  <si>
    <t>12.3.5 &amp; 12.3.6</t>
  </si>
  <si>
    <t>12.3.5</t>
  </si>
  <si>
    <t>12.3.6</t>
  </si>
  <si>
    <t>17.1.1</t>
  </si>
  <si>
    <t>17.2.2</t>
  </si>
  <si>
    <t>17.2.1</t>
  </si>
  <si>
    <t>17.4</t>
  </si>
  <si>
    <t>18.1</t>
  </si>
  <si>
    <t>18.2</t>
  </si>
  <si>
    <t>19.3</t>
  </si>
  <si>
    <t>19.2</t>
  </si>
  <si>
    <t>21.1</t>
  </si>
  <si>
    <t>22.2</t>
  </si>
  <si>
    <t>22.3</t>
  </si>
  <si>
    <t>22.4</t>
  </si>
  <si>
    <t>22.5</t>
  </si>
  <si>
    <t>22.6</t>
  </si>
  <si>
    <t>25.2</t>
  </si>
  <si>
    <t>25.3</t>
  </si>
  <si>
    <t>26.1</t>
  </si>
  <si>
    <t>26.2</t>
  </si>
  <si>
    <t>27.1</t>
  </si>
  <si>
    <t>27.2.1</t>
  </si>
  <si>
    <t>42.1</t>
  </si>
  <si>
    <t>49.</t>
  </si>
  <si>
    <t>50.</t>
  </si>
  <si>
    <t xml:space="preserve">   Authorised share capital</t>
  </si>
  <si>
    <t>Capital grant rural finance resource center</t>
  </si>
  <si>
    <t xml:space="preserve">   Issued, subscribed and paid-up capital</t>
  </si>
  <si>
    <t>Profit for the year</t>
  </si>
  <si>
    <t>Adjustments for:</t>
  </si>
  <si>
    <t xml:space="preserve">Exchange gain recoverable under exchange </t>
  </si>
  <si>
    <t>Contingent liability in respect of guarantees given on behalf of:</t>
  </si>
  <si>
    <t>Earmarked foreign currency balances</t>
  </si>
  <si>
    <t>Governor</t>
  </si>
  <si>
    <t>___________________</t>
  </si>
  <si>
    <t>Repurchase and outright sale of securities</t>
  </si>
  <si>
    <t>Total assets</t>
  </si>
  <si>
    <t>Certificates of Deposits</t>
  </si>
  <si>
    <t>Quota allocated by the International Monetary Fund</t>
  </si>
  <si>
    <t xml:space="preserve">Furniture and fixtures </t>
  </si>
  <si>
    <t>Freehold land</t>
  </si>
  <si>
    <t>Leasehold land</t>
  </si>
  <si>
    <t>Office equipment</t>
  </si>
  <si>
    <t>Motor vehicles</t>
  </si>
  <si>
    <t xml:space="preserve">Auditors' remuneration </t>
  </si>
  <si>
    <t>Audit fee</t>
  </si>
  <si>
    <t>Out of pocket expenses</t>
  </si>
  <si>
    <t>Other income</t>
  </si>
  <si>
    <t>Exchange risk fee income</t>
  </si>
  <si>
    <t>Gain / (loss) on:</t>
  </si>
  <si>
    <t>Note printing charges</t>
  </si>
  <si>
    <t>Insurance</t>
  </si>
  <si>
    <t>30.</t>
  </si>
  <si>
    <t>31.</t>
  </si>
  <si>
    <t>32.</t>
  </si>
  <si>
    <t>33.</t>
  </si>
  <si>
    <t>35.</t>
  </si>
  <si>
    <t>Market Treasury Bills (MTBs)</t>
  </si>
  <si>
    <t xml:space="preserve">Investment - MTBs held as assets of the </t>
  </si>
  <si>
    <t xml:space="preserve">Investments in above entities have been made under the specific directives of the Government in </t>
  </si>
  <si>
    <t>1.98 to 2.59</t>
  </si>
  <si>
    <t xml:space="preserve">    the Reserve Bank of India</t>
  </si>
  <si>
    <t>Deferred income</t>
  </si>
  <si>
    <t>d)</t>
  </si>
  <si>
    <t>Penalties levied on banks and financial institutions</t>
  </si>
  <si>
    <t>38.</t>
  </si>
  <si>
    <t>Statement of Changes in Equity</t>
  </si>
  <si>
    <t>For the year ended June 30, 2006</t>
  </si>
  <si>
    <t>Balance at June 30, 2006</t>
  </si>
  <si>
    <t>Shamshad Akhtar</t>
  </si>
  <si>
    <t xml:space="preserve"> - Punjab</t>
  </si>
  <si>
    <t xml:space="preserve"> - Sindh</t>
  </si>
  <si>
    <t>39.</t>
  </si>
  <si>
    <t>Financial assets</t>
  </si>
  <si>
    <t>Financial liabilities</t>
  </si>
  <si>
    <t>40.</t>
  </si>
  <si>
    <t>Transferred to reserve fund</t>
  </si>
  <si>
    <t>accordance with the provisions of the State Bank of Pakistan Act, 1956 and other relevant statutes. The</t>
  </si>
  <si>
    <t>management of the Bank does not exercise significant influence or control over these entities except for</t>
  </si>
  <si>
    <t>any regulatory purposes or control arising as a consequence of any statute which applies to the entire</t>
  </si>
  <si>
    <t>sector to which these entities belong. Accordingly, these entities have not been consolidated as subsidiaries</t>
  </si>
  <si>
    <t xml:space="preserve">or accounted for as investments in associates, or joint ventures. </t>
  </si>
  <si>
    <t xml:space="preserve">Market value of the Bank's investment in the shares of National Bank of Pakistan  at June 30, 2006 </t>
  </si>
  <si>
    <t>order to settle their obligations. The figures given below represent the rupee value of the SDRs held</t>
  </si>
  <si>
    <t>by the Bank at June 30, 2006. Interest is credited by the IMF on the SDR holding of the Bank at</t>
  </si>
  <si>
    <t xml:space="preserve">weekly interest rates on daily products of SDRs held during each quarter. </t>
  </si>
  <si>
    <t>Market value of the Bank's investment in the shares of United Bank Limited as at June 30, 2006 amounted</t>
  </si>
  <si>
    <t xml:space="preserve">to Rs.3,976.309 million (2005: Cost of Rs. 350.638 million). </t>
  </si>
  <si>
    <t>In 2004, the Bank along with the Privatization Commission and Government of Pakistan , entered into an</t>
  </si>
  <si>
    <t>agreement dated Feb 26, 2004 with the Aga Khan Fund for Economic Development S.A. (AKFED) for</t>
  </si>
  <si>
    <t>the transfer of ownership of 51% shares of Habib Bank Limited's (HBL) total paid up capital to AKFED</t>
  </si>
  <si>
    <t>year, and payment amounting to USD 99.263 million has been received thereagainst, resulting in a gain of</t>
  </si>
  <si>
    <t>for USD 389.929 million. Under this agreement, the Bank had transferred ownership of 38.5% of HBL's</t>
  </si>
  <si>
    <t>This represents the Bank's right to receive rupee counterpart of the foreign currency on the</t>
  </si>
  <si>
    <t>maturity of certain currency swap arrangements with commercial banks and non-banking</t>
  </si>
  <si>
    <t xml:space="preserve">rupee counterpart has been disclosed in note 27. </t>
  </si>
  <si>
    <t xml:space="preserve">DEFERRED LIABILITY - STAFF </t>
  </si>
  <si>
    <t>(2005: 1.04 to 4.77) percent per annum.</t>
  </si>
  <si>
    <t>annum.</t>
  </si>
  <si>
    <t>This represents gain realised during the year (2005: 3,587.239 million) on disposal  of 12.5 ( 2005: 12.5) per cent</t>
  </si>
  <si>
    <t>Notes and coins:</t>
  </si>
  <si>
    <t>- Coins</t>
  </si>
  <si>
    <t>Less: Direct operating expenses</t>
  </si>
  <si>
    <t>Less: General administrative and other expenses</t>
  </si>
  <si>
    <t>Less: Other charges</t>
  </si>
  <si>
    <t>Dividend received</t>
  </si>
  <si>
    <t>Coins</t>
  </si>
  <si>
    <t xml:space="preserve">Buildings on freehold land </t>
  </si>
  <si>
    <t>Buildings on leasehold land</t>
  </si>
  <si>
    <t>Buildings on freehold land</t>
  </si>
  <si>
    <t>At the year end, these balances carry mark-up at 8.33 (2005: 6.93) percent per annum.</t>
  </si>
  <si>
    <t>This represents repurchase agreement borrowings and are subject to markup at the rate of 6.25</t>
  </si>
  <si>
    <t>to 8.90 (2005: 4.1584 to 7.4790) percent per annum.</t>
  </si>
  <si>
    <t>The share capital of the Bank is owned by the Government of Pakistan except for 200 shares</t>
  </si>
  <si>
    <t>Salaries and other benefits</t>
  </si>
  <si>
    <t>The Bank reviews its loan portfolio to assess recoverability of loans and advances and provision</t>
  </si>
  <si>
    <t>required there against on a continuous basis. While assessing this requirement, various factors</t>
  </si>
  <si>
    <t>including the delinquency in the account, financial position of the borrower and other relevant</t>
  </si>
  <si>
    <t>factors are considered. The amount of provision may require adjustment in case borrowers do not</t>
  </si>
  <si>
    <t>perform according to expectations.</t>
  </si>
  <si>
    <t>been a significant or prolonged decline in the fair value below its cost. The determination of</t>
  </si>
  <si>
    <t>appropriate when there is evidence of deterioration in the financial health of the investees, industry</t>
  </si>
  <si>
    <t>The Bank classifies non-derivative financial assets with fixed or determinable payments</t>
  </si>
  <si>
    <t>FAIR VALUE OF FINANCIAL INSTRUMENTS</t>
  </si>
  <si>
    <t>The carrying value of all the financial instruments reflected in the financial statements</t>
  </si>
  <si>
    <t xml:space="preserve">are carried at cost less permanent impairment in value if any. </t>
  </si>
  <si>
    <t>CORRESPONDING FIGURES</t>
  </si>
  <si>
    <t>Previous year figures have been reclassified as a result of the following changes:</t>
  </si>
  <si>
    <t>Reclassification from</t>
  </si>
  <si>
    <t>Reclassification to</t>
  </si>
  <si>
    <t>Better presentation</t>
  </si>
  <si>
    <t>This carries markup at the rate of 3.625% (2005: 3.625% ) per annum.</t>
  </si>
  <si>
    <t xml:space="preserve">Other- investments with holding less </t>
  </si>
  <si>
    <t>Special Drawing Rights of IMF</t>
  </si>
  <si>
    <t>51.</t>
  </si>
  <si>
    <t xml:space="preserve">  RETIREMENT BENEFITS</t>
  </si>
  <si>
    <t>Agency commission is payable to National Bank of Pakistan (NBP) under an agreement at the rate of 0.15% (2005:</t>
  </si>
  <si>
    <t xml:space="preserve">0.15%) of the total amount of collection and remittances handled by NBP. </t>
  </si>
  <si>
    <t>of HBL's total paid-up capital to the Aga Khan Fund for Economic Development S.A., as mentioned in detail in</t>
  </si>
  <si>
    <t xml:space="preserve">note 12.3.5. </t>
  </si>
  <si>
    <t xml:space="preserve">Information about the Bank's exposure to interest / mark-up rate risk based on contractual repricing and maturity dates, which ever is earlier is as follows: </t>
  </si>
  <si>
    <t>The Bank is primarily subject to interest/mark-up rate, credit, currency and liquidity risks. The</t>
  </si>
  <si>
    <t>has designed and implemented a framework of controls to identify, monitor and manage these</t>
  </si>
  <si>
    <t>risks. The senior management is responsible for advising the Governor on the monitoring and</t>
  </si>
  <si>
    <t xml:space="preserve">management of these risks. </t>
  </si>
  <si>
    <t>Interest / mark-up rate risk is the risk that the value of a financial instrument will fluctuate due to</t>
  </si>
  <si>
    <t>INTEREST / MARK-UP RATE RISK</t>
  </si>
  <si>
    <t xml:space="preserve">Rupees in </t>
  </si>
  <si>
    <t>thousands</t>
  </si>
  <si>
    <t xml:space="preserve">Reasons for </t>
  </si>
  <si>
    <t>reclassification</t>
  </si>
  <si>
    <t>approximates their fair value, except strategic investments as mentioned in note 12.3.1which</t>
  </si>
  <si>
    <t>These represent appropriations made out of the surplus profits of the Bank for certain specified</t>
  </si>
  <si>
    <t xml:space="preserve">purposes in accordance with the provisions of the State Bank of Pakistan Act, 1956. </t>
  </si>
  <si>
    <t>This represents appropriations made out of the annual profits of the Bank in accordance with the</t>
  </si>
  <si>
    <t>provisions of the State Bank of Pakistan Act, 1956 for the purpose of provision of cover against</t>
  </si>
  <si>
    <t xml:space="preserve">risks relating to events which are contingent and non-foreseeable. </t>
  </si>
  <si>
    <t>changes in the market interest/ mark-up rates. The Bank has adopted appropriate policies to</t>
  </si>
  <si>
    <t>minimise its exposure to this risk. The Bank's management, the Central Board and the investment</t>
  </si>
  <si>
    <t>committee has set appropriate duration limits and a separate department deals with the monitoring</t>
  </si>
  <si>
    <t xml:space="preserve">of the Bank's interest/ mark-up rate risk exposure based on these limits. </t>
  </si>
  <si>
    <t>48.</t>
  </si>
  <si>
    <t>Gratuity</t>
  </si>
  <si>
    <t>Pension</t>
  </si>
  <si>
    <t>Post retirement medical benefits</t>
  </si>
  <si>
    <t xml:space="preserve">Balances due from the Governments of India and </t>
  </si>
  <si>
    <t>Deposits of banks and financial institutions</t>
  </si>
  <si>
    <t>Payable to the International Monetary Fund</t>
  </si>
  <si>
    <t>Unrealised appreciation on gold reserves</t>
  </si>
  <si>
    <t>Current account of the Government of Balochistan</t>
  </si>
  <si>
    <t xml:space="preserve">By the Issue Department </t>
  </si>
  <si>
    <t xml:space="preserve">account and, accordingly, no provision has been made in this  respect. </t>
  </si>
  <si>
    <t xml:space="preserve">By the Banking Department </t>
  </si>
  <si>
    <t>-------------------------------------------------------Reserves--------------------------------------------------</t>
  </si>
  <si>
    <t>_______________</t>
  </si>
  <si>
    <t xml:space="preserve">GOLD RESERVES HELD BY THE BANK </t>
  </si>
  <si>
    <t>FOREIGN CURRENCY RESERVES</t>
  </si>
  <si>
    <t xml:space="preserve">INDIAN NOTES REPRESENTING ASSETS RECEIVABLE </t>
  </si>
  <si>
    <t>LOCAL CURRENCY</t>
  </si>
  <si>
    <t>INVESTMENTS</t>
  </si>
  <si>
    <t>COMMERCIAL PAPERS</t>
  </si>
  <si>
    <t>BANK NOTES ISSUED</t>
  </si>
  <si>
    <t>LOANS, ADVANCES AND BILLS OF EXCHANGE</t>
  </si>
  <si>
    <t>OTHER ASSETS</t>
  </si>
  <si>
    <t>Non-food account</t>
  </si>
  <si>
    <t>Zakat fund account</t>
  </si>
  <si>
    <t>Railways - ways and means advances</t>
  </si>
  <si>
    <t xml:space="preserve">DEPOSITS OF BANKS AND FINANCIAL </t>
  </si>
  <si>
    <t>Foreign central banks</t>
  </si>
  <si>
    <t>International organisation</t>
  </si>
  <si>
    <t>Special debt repayment</t>
  </si>
  <si>
    <t>OTHER DEPOSITS AND ACCOUNTS</t>
  </si>
  <si>
    <t>OTHER LIABILITIES</t>
  </si>
  <si>
    <t>SHARE CAPITAL</t>
  </si>
  <si>
    <t>RESERVES</t>
  </si>
  <si>
    <t>Cost  at
July 01</t>
  </si>
  <si>
    <t>Accumulated  amortisation at July 01</t>
  </si>
  <si>
    <t>July 01</t>
  </si>
  <si>
    <t>million). An amount of Rs. 124 million (2005: 295 million) has been charged to the profit and loss account in the</t>
  </si>
  <si>
    <t>June 2006, the liabilities would have increased by Rs.15,154.859 million, profit for the year would</t>
  </si>
  <si>
    <t xml:space="preserve">have reduced by Rs.303.345 million and equity would have reduced by Rs.15,154.859 million. </t>
  </si>
  <si>
    <t>CONTINGENCIES AND COMMITMENTS</t>
  </si>
  <si>
    <t>INTEREST / MARK-UP EXPENSE</t>
  </si>
  <si>
    <t xml:space="preserve">COMMISSION INCOME </t>
  </si>
  <si>
    <t>NOTE PRINTING CHARGES</t>
  </si>
  <si>
    <t>AGENCY COMMISSION</t>
  </si>
  <si>
    <t>Payable to International Monetary Fund</t>
  </si>
  <si>
    <t>Cash and cash equivalents at beginning of the year</t>
  </si>
  <si>
    <t>Cash and cash equivalents at end of the year</t>
  </si>
  <si>
    <t>The above foreign currency reserves are held as follows:</t>
  </si>
  <si>
    <t>The allocation of SDRs by the IMF has been reflected as part of equity and carried at historical</t>
  </si>
  <si>
    <t>cost in line with approved accounting policy prepared on the basis of IMF guidelines. Presently, a</t>
  </si>
  <si>
    <t>committee formed by IMF is evaluating whether SDR is debt or equity . However, no conclusion</t>
  </si>
  <si>
    <t>in this respect has yet been made. Had SDR Allocation been treated as financial liability as at 30</t>
  </si>
  <si>
    <t>Mark-up on above balances due from federal and provincial government was charged at various rates ranging</t>
  </si>
  <si>
    <t xml:space="preserve">between 7.6905 to 8.3296 (2005: 2.0581 to 6.9282) percent per annum. </t>
  </si>
  <si>
    <t>Certain items of freehold land, leasehold land, buildings on freehold and leasehold land were revalued on June 30, 2001 by</t>
  </si>
  <si>
    <t>Iqbal A Nanjee and Co., Valuation and Engineering Consultants on the basis of market value. The revaluation resulted in a</t>
  </si>
  <si>
    <t>surplus of Rs 6,953.519 million at that date. During the year, freehold land, leasehold land, buildings on freehold and</t>
  </si>
  <si>
    <t>leasehold land were revalued on June 30, 2006 by Iqbal A. Nanjee &amp; Co., Valuation and Engineering Consultants, on the</t>
  </si>
  <si>
    <t>basis of market value. The revaluation resulted in a surplus of 12,552.511 million.</t>
  </si>
  <si>
    <t xml:space="preserve">  financial institutions </t>
  </si>
  <si>
    <t>10.1</t>
  </si>
  <si>
    <t>17.1</t>
  </si>
  <si>
    <t>25.1</t>
  </si>
  <si>
    <t xml:space="preserve">BALANCES DUE FROM THE GOVERNMENTS OF </t>
  </si>
  <si>
    <t xml:space="preserve">  INDIA AND BANGLADESH (FORMER EAST PAKISTAN)</t>
  </si>
  <si>
    <t xml:space="preserve">(former East Pakistan) and India. </t>
  </si>
  <si>
    <t>- held by the Bank</t>
  </si>
  <si>
    <t>- held with the Reserve Bank of India</t>
  </si>
  <si>
    <t>- Special Drawing Rights of IMF</t>
  </si>
  <si>
    <t xml:space="preserve">agreed rates under specific arrangements. </t>
  </si>
  <si>
    <t>Local currency (including rupee coins)</t>
  </si>
  <si>
    <t>Provision for:</t>
  </si>
  <si>
    <t>- retirement benefits and employees' compensated absences</t>
  </si>
  <si>
    <t>Other accruals and provisions - net</t>
  </si>
  <si>
    <t>Balance at June 30, 2005</t>
  </si>
  <si>
    <t>OTHER INCOME</t>
  </si>
  <si>
    <t>OTHER CHARGES</t>
  </si>
  <si>
    <t xml:space="preserve">CASH AND CASH EQUIVALENTS  </t>
  </si>
  <si>
    <t>GENERAL</t>
  </si>
  <si>
    <t>DATE OF AUTHORISATION</t>
  </si>
  <si>
    <t>Grants received during the year</t>
  </si>
  <si>
    <t>Training</t>
  </si>
  <si>
    <t>Rent and taxes</t>
  </si>
  <si>
    <t>Examination/ testing services</t>
  </si>
  <si>
    <t>Remittance of treasure</t>
  </si>
  <si>
    <t>Books and newspapers</t>
  </si>
  <si>
    <t>Uniforms</t>
  </si>
  <si>
    <t>Foreign currency reserves</t>
  </si>
  <si>
    <t>EDP equipment</t>
  </si>
  <si>
    <t>Bangladesh (former East Pakistan)</t>
  </si>
  <si>
    <t xml:space="preserve">   Bangladesh (former East Pakistan)</t>
  </si>
  <si>
    <t>Export sector</t>
  </si>
  <si>
    <t>Housing sector</t>
  </si>
  <si>
    <t>5</t>
  </si>
  <si>
    <t>20</t>
  </si>
  <si>
    <t>Advertisement</t>
  </si>
  <si>
    <t>Industrial sector</t>
  </si>
  <si>
    <t>Daily expenses</t>
  </si>
  <si>
    <t>Term Finance Certificates</t>
  </si>
  <si>
    <t>Employees</t>
  </si>
  <si>
    <t>Current account for administrative charges</t>
  </si>
  <si>
    <t>Prize Bonds and National Saving Certificates</t>
  </si>
  <si>
    <t>33.33</t>
  </si>
  <si>
    <t>Stationery</t>
  </si>
  <si>
    <t>Interest / mark-up rate risk management</t>
  </si>
  <si>
    <t>PROFIT FOR THE YEAR AFTER  NON-CASH ITEMS</t>
  </si>
  <si>
    <t>Amortisation of intangible assets</t>
  </si>
  <si>
    <t>Staff retirement benefits</t>
  </si>
  <si>
    <t>Accrued interest and discount on deposits</t>
  </si>
  <si>
    <t>Charges on allocation of Special Drawing Rights of IMF</t>
  </si>
  <si>
    <t xml:space="preserve">Present value of the obligations </t>
  </si>
  <si>
    <t>Provision made in respect of the staff retirement benefits</t>
  </si>
  <si>
    <t>Amount recognised in the profit and loss account</t>
  </si>
  <si>
    <t>29.</t>
  </si>
  <si>
    <t>Employees contributions</t>
  </si>
  <si>
    <t>diminution in value of investments</t>
  </si>
  <si>
    <t xml:space="preserve">Loans and advances to the Governments </t>
  </si>
  <si>
    <t xml:space="preserve">DEFERRED INCOME </t>
  </si>
  <si>
    <t>State Bank of Pakistan</t>
  </si>
  <si>
    <t>Employees contribution</t>
  </si>
  <si>
    <t>Government securities</t>
  </si>
  <si>
    <t>Loans and advances to Government owned / controlled financial institutions</t>
  </si>
  <si>
    <t>Non-banking financial institutions</t>
  </si>
  <si>
    <t>Loans and advances to private sector financial institutions</t>
  </si>
  <si>
    <t>financial institutions. The related obligation of the Bank to exchange foreign currency with the</t>
  </si>
  <si>
    <t>Saudi Arabia special loan account</t>
  </si>
  <si>
    <t xml:space="preserve">Held under Cash Reserve Requirement </t>
  </si>
  <si>
    <t xml:space="preserve">The above deposits are free of interest except deposits under cash reserve requirements </t>
  </si>
  <si>
    <t xml:space="preserve"> which are remunerated at the rates given below: </t>
  </si>
  <si>
    <t>Government owned / controlled and private sector financial institutions</t>
  </si>
  <si>
    <t>Balance receivable from the Government of Pakistan</t>
  </si>
  <si>
    <t>Advance against printing of notes</t>
  </si>
  <si>
    <t xml:space="preserve">Receivable from the Reserve Bank of India  </t>
  </si>
  <si>
    <t>Inter office balances</t>
  </si>
  <si>
    <t>Loans and advances</t>
  </si>
  <si>
    <t>Provision against doubtful balances</t>
  </si>
  <si>
    <t xml:space="preserve">  Monetary Fund</t>
  </si>
  <si>
    <t>Balance profit transferred to the Government of Pakistan</t>
  </si>
  <si>
    <t>EARMARKED FOREIGN CURRENCY BALANCES</t>
  </si>
  <si>
    <t>Provision during the year</t>
  </si>
  <si>
    <t>The realisability of the above balances is subject to final settlement between the Government of Pakistan and Governments of Bangladesh</t>
  </si>
  <si>
    <t>Appreciation on revaluation during the year:</t>
  </si>
  <si>
    <t>Shamshad Akhter</t>
  </si>
  <si>
    <t xml:space="preserve">At June 30, 2006, the SDRs were held as follows: </t>
  </si>
  <si>
    <t>Special transfer account</t>
  </si>
  <si>
    <t>UN reimbursement account</t>
  </si>
  <si>
    <t>Gain on disposal of investments</t>
  </si>
  <si>
    <t xml:space="preserve">Special Drawing Rights of the International </t>
  </si>
  <si>
    <t>Special Drawing Rights of the International Monetary Fund</t>
  </si>
  <si>
    <t>SPECIAL DRAWING RIGHTS OF THE INTERNATIONAL</t>
  </si>
  <si>
    <t>Foreign currency securities</t>
  </si>
  <si>
    <t>Dividend</t>
  </si>
  <si>
    <t>2.0756 to 7.9447</t>
  </si>
  <si>
    <t>ACCOUNTING ESTIMATES AND JUDGMENTS</t>
  </si>
  <si>
    <t>Provision against loans and advances</t>
  </si>
  <si>
    <t>Impairment of available for-sale investments</t>
  </si>
  <si>
    <t>The Bank determines that available-for-sale equity investments are impaired when there has</t>
  </si>
  <si>
    <t>what is significant or prolonged requires judgment. In making this judgment, the Bank evaluates</t>
  </si>
  <si>
    <t>among other factors, the normal volatility in share price. In addition, impairment may be</t>
  </si>
  <si>
    <t xml:space="preserve">and sector performance, changes in technology, and operational and financing cash flows. </t>
  </si>
  <si>
    <t>Held-to-maturity investments</t>
  </si>
  <si>
    <t>and fixed maturity as held-to-maturity. In making this judgment, the Bank evaluates its intention</t>
  </si>
  <si>
    <t>and ability to hold such investments to maturity.</t>
  </si>
  <si>
    <t>Retirement Benefits</t>
  </si>
  <si>
    <t>The key actuarial assumptions concerning the valuation of defined benefit plans and the</t>
  </si>
  <si>
    <t>Useful life of Property, plant and Equipment</t>
  </si>
  <si>
    <t>Estimates of useful life of the property and equipment are based on the management’s best</t>
  </si>
  <si>
    <t>estimate.</t>
  </si>
  <si>
    <t xml:space="preserve">Earmarked foreign currency balances </t>
  </si>
  <si>
    <t>Securities purchased under an agreement to resale</t>
  </si>
  <si>
    <t>PROPERTY, PLANT AND EQUIPMENT</t>
  </si>
  <si>
    <t>Operating fixed assets</t>
  </si>
  <si>
    <t>Capital work-in-progress</t>
  </si>
  <si>
    <t>17.2</t>
  </si>
  <si>
    <t xml:space="preserve">Securities sold under agreement to repurchase </t>
  </si>
  <si>
    <t>Exchange gain- net</t>
  </si>
  <si>
    <t xml:space="preserve">given as collateral under repurchase agreement borrowing arrangements. </t>
  </si>
  <si>
    <t xml:space="preserve">SECURITIES SOLD UNDER AGREEMENT TO REPURCHASE </t>
  </si>
  <si>
    <t>EXCHANGE GAIN - net</t>
  </si>
  <si>
    <t>1.5 to 12</t>
  </si>
  <si>
    <t>Balance at June 30, 2004</t>
  </si>
  <si>
    <t>Gold reserves held by the Bank</t>
  </si>
  <si>
    <t xml:space="preserve">Others </t>
  </si>
  <si>
    <t>Auditors' remuneration</t>
  </si>
  <si>
    <t>Depreciation</t>
  </si>
  <si>
    <t>Minority interest</t>
  </si>
  <si>
    <t>Amortisation of deferred income</t>
  </si>
  <si>
    <t>Figures have been rounded off to the nearest thousand rupees.</t>
  </si>
  <si>
    <t>c)</t>
  </si>
  <si>
    <t>Management of public debts</t>
  </si>
  <si>
    <t>Rupee coins</t>
  </si>
  <si>
    <t>Current accounts</t>
  </si>
  <si>
    <t xml:space="preserve">Deposit accounts </t>
  </si>
  <si>
    <t>Unlisted</t>
  </si>
  <si>
    <t>Retirement benefits and employees' compensated absences</t>
  </si>
  <si>
    <t>Other accruals and provisions</t>
  </si>
  <si>
    <t xml:space="preserve">LIABILITIES </t>
  </si>
  <si>
    <t>Fixed capital expenditure</t>
  </si>
  <si>
    <t>43.</t>
  </si>
  <si>
    <t>44.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</si>
</sst>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Rs&quot;* #,##0_ ;_ &quot;Rs&quot;* \-#,##0_ ;_ &quot;Rs&quot;* &quot;-&quot;_ ;_ @_ "/>
    <numFmt numFmtId="165" formatCode="_ * #,##0_ ;_ * \-#,##0_ ;_ * &quot;-&quot;_ ;_ @_ "/>
    <numFmt numFmtId="166" formatCode="_ &quot;Rs&quot;* #,##0.00_ ;_ &quot;Rs&quot;* \-#,##0.00_ ;_ &quot;Rs&quot;* &quot;-&quot;??_ ;_ @_ "/>
    <numFmt numFmtId="167" formatCode="_ * #,##0.00_ ;_ * \-#,##0.00_ ;_ * &quot;-&quot;??_ ;_ @_ "/>
    <numFmt numFmtId="168" formatCode="_(* #,##0_);_(* \(#,##0\);_(* &quot;-&quot;??_);_(@_)"/>
    <numFmt numFmtId="169" formatCode="_ * #,##0.0_ ;_ * \-#,##0.0_ ;_ * &quot;-&quot;??_ ;_ @_ "/>
    <numFmt numFmtId="170" formatCode="_ * #,##0_ ;_ * \-#,##0_ ;_ * &quot;-&quot;??_ ;_ @_ "/>
    <numFmt numFmtId="171" formatCode="_(* #,##0.0_);_(* \(#,##0.0\);_(* &quot;-&quot;?_);_(@_)"/>
    <numFmt numFmtId="172" formatCode="0_);\(0\)"/>
    <numFmt numFmtId="173" formatCode="_ * #,##0.000_ ;_ * \-#,##0.000_ ;_ * &quot;-&quot;??_ ;_ @_ "/>
    <numFmt numFmtId="174" formatCode="_ * #,##0.0000_ ;_ * \-#,##0.0000_ ;_ * &quot;-&quot;??_ ;_ @_ "/>
    <numFmt numFmtId="175" formatCode="_(* #,##0.0_);_(* \(#,##0.0\);_(* &quot;-&quot;??_);_(@_)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_);_(@_)"/>
    <numFmt numFmtId="179" formatCode="_(* #,##0.0000_);_(* \(#,##0.0000\);_(* &quot;-&quot;_);_(@_)"/>
    <numFmt numFmtId="180" formatCode="_(* #,##0.00000_);_(* \(#,##0.00000\);_(* &quot;-&quot;_);_(@_)"/>
    <numFmt numFmtId="181" formatCode="_(* #,##0.000000_);_(* \(#,##0.000000\);_(* &quot;-&quot;_);_(@_)"/>
    <numFmt numFmtId="182" formatCode="_(* #,##0.0000000_);_(* \(#,##0.0000000\);_(* &quot;-&quot;_);_(@_)"/>
    <numFmt numFmtId="183" formatCode="_(* #,##0.00000000_);_(* \(#,##0.00000000\);_(* &quot;-&quot;_);_(@_)"/>
    <numFmt numFmtId="184" formatCode="_ * #,##0.00000_ ;_ * \-#,##0.00000_ ;_ * &quot;-&quot;??_ ;_ @_ "/>
    <numFmt numFmtId="185" formatCode="_ * #,##0.000000_ ;_ * \-#,##0.000000_ ;_ * &quot;-&quot;??_ ;_ @_ "/>
    <numFmt numFmtId="186" formatCode="_ * #,##0.0000000_ ;_ * \-#,##0.0000000_ ;_ * &quot;-&quot;??_ ;_ @_ "/>
    <numFmt numFmtId="187" formatCode="_ * #,##0.00000000_ ;_ * \-#,##0.00000000_ ;_ * &quot;-&quot;??_ ;_ @_ "/>
    <numFmt numFmtId="188" formatCode="_ * #,##0.000000000_ ;_ * \-#,##0.000000000_ ;_ * &quot;-&quot;??_ ;_ @_ "/>
    <numFmt numFmtId="189" formatCode="_ * #,##0.0000000000_ ;_ * \-#,##0.0000000000_ ;_ * &quot;-&quot;??_ ;_ @_ "/>
    <numFmt numFmtId="190" formatCode="_ * #,##0.00000000000_ ;_ * \-#,##0.00000000000_ ;_ * &quot;-&quot;??_ ;_ @_ "/>
    <numFmt numFmtId="191" formatCode="_ * #,##0.000000000000_ ;_ * \-#,##0.000000000000_ ;_ * &quot;-&quot;??_ ;_ @_ "/>
    <numFmt numFmtId="192" formatCode="_ * #,##0.0000000000000_ ;_ * \-#,##0.0000000000000_ ;_ * &quot;-&quot;??_ ;_ @_ "/>
    <numFmt numFmtId="193" formatCode="_ * #,##0.00000000000000_ ;_ * \-#,##0.00000000000000_ ;_ * &quot;-&quot;??_ ;_ @_ "/>
    <numFmt numFmtId="194" formatCode="_ * #,##0.000000000000000_ ;_ * \-#,##0.000000000000000_ ;_ * &quot;-&quot;??_ ;_ @_ "/>
    <numFmt numFmtId="195" formatCode="_ * #,##0.0000000000000000_ ;_ * \-#,##0.0000000000000000_ ;_ * &quot;-&quot;??_ ;_ @_ "/>
    <numFmt numFmtId="196" formatCode="0.0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0.000"/>
    <numFmt numFmtId="206" formatCode="_(* #,##0.0000_);_(* \(#,##0.0000\);_(* &quot;-&quot;????_);_(@_)"/>
    <numFmt numFmtId="207" formatCode="_(* #,##0.000_);_(* \(#,##0.000\);_(* &quot;-&quot;???_);_(@_)"/>
    <numFmt numFmtId="208" formatCode="[$€-2]\ #,##0.00_);[Red]\([$€-2]\ #,##0.00\)"/>
    <numFmt numFmtId="209" formatCode="[$-409]dddd\,\ mmmm\ dd\,\ yyyy"/>
    <numFmt numFmtId="210" formatCode="#,##0.0"/>
    <numFmt numFmtId="211" formatCode="[$-409]d\-mmm\-yy;@"/>
    <numFmt numFmtId="212" formatCode="_(* #,##0_);_(* \(##,##0\);_(* &quot;-&quot;_);_(@_)"/>
  </numFmts>
  <fonts count="2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1"/>
      <name val="Times New Roman"/>
      <family val="1"/>
    </font>
    <font>
      <sz val="14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i/>
      <u val="singleAccounting"/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Arial"/>
      <family val="0"/>
    </font>
    <font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70" fontId="6" fillId="0" borderId="0" xfId="15" applyNumberFormat="1" applyFont="1" applyAlignment="1">
      <alignment/>
    </xf>
    <xf numFmtId="170" fontId="6" fillId="0" borderId="0" xfId="15" applyNumberFormat="1" applyFont="1" applyBorder="1" applyAlignment="1">
      <alignment/>
    </xf>
    <xf numFmtId="168" fontId="6" fillId="0" borderId="0" xfId="15" applyNumberFormat="1" applyFont="1" applyFill="1" applyAlignment="1">
      <alignment/>
    </xf>
    <xf numFmtId="0" fontId="6" fillId="0" borderId="0" xfId="0" applyFont="1" applyBorder="1" applyAlignment="1">
      <alignment/>
    </xf>
    <xf numFmtId="168" fontId="6" fillId="0" borderId="0" xfId="15" applyNumberFormat="1" applyFont="1" applyBorder="1" applyAlignment="1">
      <alignment/>
    </xf>
    <xf numFmtId="168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15" applyNumberFormat="1" applyFont="1" applyBorder="1" applyAlignment="1">
      <alignment horizontal="center"/>
    </xf>
    <xf numFmtId="168" fontId="9" fillId="0" borderId="0" xfId="15" applyNumberFormat="1" applyFont="1" applyBorder="1" applyAlignment="1">
      <alignment/>
    </xf>
    <xf numFmtId="168" fontId="9" fillId="0" borderId="0" xfId="15" applyNumberFormat="1" applyFont="1" applyFill="1" applyBorder="1" applyAlignment="1">
      <alignment/>
    </xf>
    <xf numFmtId="170" fontId="6" fillId="0" borderId="0" xfId="15" applyNumberFormat="1" applyFont="1" applyFill="1" applyAlignment="1">
      <alignment/>
    </xf>
    <xf numFmtId="170" fontId="6" fillId="0" borderId="0" xfId="15" applyNumberFormat="1" applyFont="1" applyFill="1" applyBorder="1" applyAlignment="1">
      <alignment/>
    </xf>
    <xf numFmtId="170" fontId="7" fillId="0" borderId="0" xfId="15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70" fontId="6" fillId="0" borderId="0" xfId="15" applyNumberFormat="1" applyFont="1" applyFill="1" applyBorder="1" applyAlignment="1">
      <alignment horizontal="right"/>
    </xf>
    <xf numFmtId="170" fontId="6" fillId="0" borderId="0" xfId="15" applyNumberFormat="1" applyFont="1" applyFill="1" applyAlignment="1">
      <alignment horizontal="right"/>
    </xf>
    <xf numFmtId="0" fontId="6" fillId="0" borderId="0" xfId="0" applyFont="1" applyFill="1" applyAlignment="1" quotePrefix="1">
      <alignment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68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41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1" fontId="7" fillId="0" borderId="0" xfId="0" applyNumberFormat="1" applyFont="1" applyFill="1" applyAlignment="1" quotePrefix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6" fillId="0" borderId="0" xfId="15" applyNumberFormat="1" applyFont="1" applyFill="1" applyAlignment="1">
      <alignment horizontal="center"/>
    </xf>
    <xf numFmtId="170" fontId="6" fillId="0" borderId="0" xfId="15" applyNumberFormat="1" applyFont="1" applyFill="1" applyAlignment="1">
      <alignment horizontal="center"/>
    </xf>
    <xf numFmtId="41" fontId="6" fillId="0" borderId="0" xfId="15" applyNumberFormat="1" applyFont="1" applyFill="1" applyBorder="1" applyAlignment="1">
      <alignment horizontal="center"/>
    </xf>
    <xf numFmtId="168" fontId="6" fillId="0" borderId="0" xfId="0" applyNumberFormat="1" applyFont="1" applyBorder="1" applyAlignment="1">
      <alignment/>
    </xf>
    <xf numFmtId="41" fontId="6" fillId="0" borderId="1" xfId="15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right"/>
    </xf>
    <xf numFmtId="170" fontId="6" fillId="0" borderId="0" xfId="15" applyNumberFormat="1" applyFont="1" applyFill="1" applyBorder="1" applyAlignment="1">
      <alignment horizontal="center"/>
    </xf>
    <xf numFmtId="170" fontId="6" fillId="0" borderId="0" xfId="0" applyNumberFormat="1" applyFont="1" applyBorder="1" applyAlignment="1">
      <alignment/>
    </xf>
    <xf numFmtId="41" fontId="6" fillId="0" borderId="2" xfId="15" applyNumberFormat="1" applyFont="1" applyFill="1" applyBorder="1" applyAlignment="1">
      <alignment horizontal="center"/>
    </xf>
    <xf numFmtId="0" fontId="12" fillId="0" borderId="0" xfId="0" applyFont="1" applyFill="1" applyAlignment="1" quotePrefix="1">
      <alignment horizontal="center"/>
    </xf>
    <xf numFmtId="41" fontId="6" fillId="0" borderId="0" xfId="15" applyNumberFormat="1" applyFont="1" applyFill="1" applyBorder="1" applyAlignment="1" quotePrefix="1">
      <alignment horizontal="center"/>
    </xf>
    <xf numFmtId="41" fontId="6" fillId="0" borderId="0" xfId="15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7" fillId="0" borderId="0" xfId="15" applyNumberFormat="1" applyFont="1" applyFill="1" applyAlignment="1">
      <alignment horizontal="center"/>
    </xf>
    <xf numFmtId="41" fontId="6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41" fontId="6" fillId="0" borderId="0" xfId="15" applyNumberFormat="1" applyFont="1" applyAlignment="1">
      <alignment/>
    </xf>
    <xf numFmtId="41" fontId="6" fillId="0" borderId="2" xfId="15" applyNumberFormat="1" applyFont="1" applyFill="1" applyBorder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168" fontId="6" fillId="0" borderId="3" xfId="15" applyNumberFormat="1" applyFont="1" applyFill="1" applyBorder="1" applyAlignment="1">
      <alignment/>
    </xf>
    <xf numFmtId="168" fontId="6" fillId="0" borderId="0" xfId="15" applyNumberFormat="1" applyFont="1" applyAlignment="1">
      <alignment/>
    </xf>
    <xf numFmtId="168" fontId="6" fillId="0" borderId="0" xfId="15" applyNumberFormat="1" applyFont="1" applyFill="1" applyAlignment="1">
      <alignment horizontal="center"/>
    </xf>
    <xf numFmtId="168" fontId="6" fillId="0" borderId="1" xfId="15" applyNumberFormat="1" applyFont="1" applyFill="1" applyBorder="1" applyAlignment="1">
      <alignment/>
    </xf>
    <xf numFmtId="0" fontId="6" fillId="0" borderId="0" xfId="0" applyFont="1" applyAlignment="1">
      <alignment horizontal="justify"/>
    </xf>
    <xf numFmtId="168" fontId="12" fillId="0" borderId="0" xfId="0" applyNumberFormat="1" applyFont="1" applyAlignment="1">
      <alignment/>
    </xf>
    <xf numFmtId="168" fontId="6" fillId="0" borderId="2" xfId="15" applyNumberFormat="1" applyFont="1" applyFill="1" applyBorder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15" applyNumberFormat="1" applyFont="1" applyBorder="1" applyAlignment="1">
      <alignment horizontal="right"/>
    </xf>
    <xf numFmtId="170" fontId="6" fillId="0" borderId="0" xfId="15" applyNumberFormat="1" applyFont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41" fontId="6" fillId="0" borderId="0" xfId="0" applyNumberFormat="1" applyFont="1" applyBorder="1" applyAlignment="1">
      <alignment/>
    </xf>
    <xf numFmtId="1" fontId="6" fillId="0" borderId="0" xfId="15" applyNumberFormat="1" applyFont="1" applyBorder="1" applyAlignment="1">
      <alignment horizontal="right"/>
    </xf>
    <xf numFmtId="168" fontId="6" fillId="0" borderId="0" xfId="15" applyNumberFormat="1" applyFont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168" fontId="6" fillId="0" borderId="4" xfId="15" applyNumberFormat="1" applyFont="1" applyFill="1" applyBorder="1" applyAlignment="1">
      <alignment/>
    </xf>
    <xf numFmtId="41" fontId="6" fillId="0" borderId="0" xfId="0" applyNumberFormat="1" applyFont="1" applyFill="1" applyAlignment="1" quotePrefix="1">
      <alignment horizontal="center"/>
    </xf>
    <xf numFmtId="41" fontId="7" fillId="0" borderId="0" xfId="15" applyNumberFormat="1" applyFont="1" applyFill="1" applyAlignment="1">
      <alignment horizontal="center"/>
    </xf>
    <xf numFmtId="41" fontId="7" fillId="0" borderId="0" xfId="15" applyNumberFormat="1" applyFont="1" applyFill="1" applyBorder="1" applyAlignment="1">
      <alignment horizontal="center"/>
    </xf>
    <xf numFmtId="41" fontId="7" fillId="0" borderId="2" xfId="15" applyNumberFormat="1" applyFont="1" applyFill="1" applyBorder="1" applyAlignment="1">
      <alignment horizontal="center"/>
    </xf>
    <xf numFmtId="170" fontId="7" fillId="0" borderId="0" xfId="15" applyNumberFormat="1" applyFont="1" applyFill="1" applyAlignment="1">
      <alignment/>
    </xf>
    <xf numFmtId="170" fontId="7" fillId="0" borderId="0" xfId="15" applyNumberFormat="1" applyFont="1" applyFill="1" applyBorder="1" applyAlignment="1">
      <alignment horizontal="center"/>
    </xf>
    <xf numFmtId="168" fontId="7" fillId="0" borderId="0" xfId="15" applyNumberFormat="1" applyFont="1" applyFill="1" applyAlignment="1">
      <alignment horizontal="center"/>
    </xf>
    <xf numFmtId="170" fontId="6" fillId="0" borderId="0" xfId="15" applyNumberFormat="1" applyFont="1" applyFill="1" applyAlignment="1">
      <alignment/>
    </xf>
    <xf numFmtId="168" fontId="6" fillId="0" borderId="0" xfId="15" applyNumberFormat="1" applyFont="1" applyFill="1" applyAlignment="1">
      <alignment/>
    </xf>
    <xf numFmtId="168" fontId="7" fillId="0" borderId="0" xfId="15" applyNumberFormat="1" applyFont="1" applyFill="1" applyAlignment="1">
      <alignment/>
    </xf>
    <xf numFmtId="168" fontId="6" fillId="0" borderId="0" xfId="15" applyNumberFormat="1" applyFont="1" applyFill="1" applyBorder="1" applyAlignment="1">
      <alignment/>
    </xf>
    <xf numFmtId="168" fontId="6" fillId="0" borderId="3" xfId="15" applyNumberFormat="1" applyFont="1" applyFill="1" applyBorder="1" applyAlignment="1">
      <alignment/>
    </xf>
    <xf numFmtId="168" fontId="6" fillId="0" borderId="4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 vertical="top"/>
    </xf>
    <xf numFmtId="168" fontId="6" fillId="0" borderId="2" xfId="15" applyNumberFormat="1" applyFont="1" applyFill="1" applyBorder="1" applyAlignment="1">
      <alignment/>
    </xf>
    <xf numFmtId="170" fontId="7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 quotePrefix="1">
      <alignment horizontal="left"/>
    </xf>
    <xf numFmtId="41" fontId="7" fillId="0" borderId="0" xfId="15" applyNumberFormat="1" applyFont="1" applyFill="1" applyAlignment="1">
      <alignment/>
    </xf>
    <xf numFmtId="41" fontId="6" fillId="0" borderId="0" xfId="0" applyNumberFormat="1" applyFont="1" applyFill="1" applyBorder="1" applyAlignment="1">
      <alignment horizontal="center"/>
    </xf>
    <xf numFmtId="41" fontId="6" fillId="0" borderId="0" xfId="15" applyNumberFormat="1" applyFont="1" applyFill="1" applyBorder="1" applyAlignment="1">
      <alignment/>
    </xf>
    <xf numFmtId="0" fontId="7" fillId="0" borderId="0" xfId="0" applyFont="1" applyFill="1" applyAlignment="1" quotePrefix="1">
      <alignment vertical="top"/>
    </xf>
    <xf numFmtId="0" fontId="6" fillId="0" borderId="0" xfId="0" applyFont="1" applyFill="1" applyAlignment="1">
      <alignment horizontal="justify" vertical="top"/>
    </xf>
    <xf numFmtId="0" fontId="7" fillId="0" borderId="0" xfId="0" applyFont="1" applyFill="1" applyAlignment="1" quotePrefix="1">
      <alignment horizontal="left" vertical="top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10" fontId="7" fillId="0" borderId="0" xfId="0" applyNumberFormat="1" applyFont="1" applyFill="1" applyAlignment="1">
      <alignment horizontal="center" vertical="top"/>
    </xf>
    <xf numFmtId="0" fontId="6" fillId="0" borderId="5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NumberFormat="1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170" fontId="12" fillId="0" borderId="0" xfId="15" applyNumberFormat="1" applyFont="1" applyFill="1" applyAlignment="1">
      <alignment horizontal="center"/>
    </xf>
    <xf numFmtId="170" fontId="12" fillId="0" borderId="0" xfId="15" applyNumberFormat="1" applyFont="1" applyFill="1" applyAlignment="1" quotePrefix="1">
      <alignment horizontal="center"/>
    </xf>
    <xf numFmtId="170" fontId="6" fillId="0" borderId="5" xfId="15" applyNumberFormat="1" applyFont="1" applyFill="1" applyBorder="1" applyAlignment="1">
      <alignment/>
    </xf>
    <xf numFmtId="170" fontId="6" fillId="0" borderId="7" xfId="15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7" fillId="0" borderId="0" xfId="0" applyFont="1" applyFill="1" applyAlignment="1" quotePrefix="1">
      <alignment horizontal="justify" vertical="top" wrapText="1"/>
    </xf>
    <xf numFmtId="0" fontId="6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168" fontId="6" fillId="0" borderId="2" xfId="15" applyNumberFormat="1" applyFont="1" applyFill="1" applyBorder="1" applyAlignment="1">
      <alignment vertical="top"/>
    </xf>
    <xf numFmtId="0" fontId="15" fillId="0" borderId="0" xfId="0" applyFont="1" applyFill="1" applyAlignment="1">
      <alignment/>
    </xf>
    <xf numFmtId="41" fontId="7" fillId="0" borderId="0" xfId="15" applyNumberFormat="1" applyFont="1" applyFill="1" applyBorder="1" applyAlignment="1">
      <alignment horizontal="right"/>
    </xf>
    <xf numFmtId="41" fontId="7" fillId="0" borderId="0" xfId="15" applyNumberFormat="1" applyFont="1" applyBorder="1" applyAlignment="1">
      <alignment/>
    </xf>
    <xf numFmtId="41" fontId="7" fillId="0" borderId="2" xfId="15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/>
    </xf>
    <xf numFmtId="170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 quotePrefix="1">
      <alignment vertical="top" wrapText="1"/>
    </xf>
    <xf numFmtId="37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1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 horizontal="center" vertical="top" wrapText="1"/>
    </xf>
    <xf numFmtId="41" fontId="7" fillId="0" borderId="2" xfId="15" applyNumberFormat="1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170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 vertical="top"/>
    </xf>
    <xf numFmtId="41" fontId="6" fillId="0" borderId="0" xfId="0" applyNumberFormat="1" applyFont="1" applyFill="1" applyBorder="1" applyAlignment="1" quotePrefix="1">
      <alignment horizontal="center"/>
    </xf>
    <xf numFmtId="0" fontId="16" fillId="0" borderId="0" xfId="20" applyFont="1" applyFill="1" applyAlignment="1">
      <alignment horizontal="center"/>
    </xf>
    <xf numFmtId="0" fontId="7" fillId="0" borderId="0" xfId="15" applyNumberFormat="1" applyFont="1" applyAlignment="1" quotePrefix="1">
      <alignment horizontal="left"/>
    </xf>
    <xf numFmtId="0" fontId="7" fillId="0" borderId="0" xfId="15" applyNumberFormat="1" applyFont="1" applyAlignment="1">
      <alignment horizontal="justify" vertical="top" wrapText="1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Font="1" applyAlignment="1" quotePrefix="1">
      <alignment/>
    </xf>
    <xf numFmtId="0" fontId="6" fillId="0" borderId="0" xfId="0" applyFont="1" applyAlignment="1">
      <alignment vertical="top"/>
    </xf>
    <xf numFmtId="0" fontId="6" fillId="0" borderId="0" xfId="0" applyFont="1" applyAlignment="1" quotePrefix="1">
      <alignment/>
    </xf>
    <xf numFmtId="168" fontId="6" fillId="0" borderId="11" xfId="15" applyNumberFormat="1" applyFont="1" applyFill="1" applyBorder="1" applyAlignment="1">
      <alignment/>
    </xf>
    <xf numFmtId="0" fontId="7" fillId="0" borderId="0" xfId="15" applyNumberFormat="1" applyFont="1" applyAlignment="1">
      <alignment/>
    </xf>
    <xf numFmtId="0" fontId="6" fillId="0" borderId="0" xfId="0" applyNumberFormat="1" applyFont="1" applyBorder="1" applyAlignment="1">
      <alignment vertical="top"/>
    </xf>
    <xf numFmtId="0" fontId="6" fillId="0" borderId="0" xfId="0" applyFont="1" applyAlignment="1">
      <alignment/>
    </xf>
    <xf numFmtId="41" fontId="6" fillId="0" borderId="0" xfId="15" applyNumberFormat="1" applyFont="1" applyFill="1" applyAlignment="1">
      <alignment vertical="top"/>
    </xf>
    <xf numFmtId="168" fontId="7" fillId="0" borderId="0" xfId="15" applyNumberFormat="1" applyFont="1" applyAlignment="1">
      <alignment vertical="top"/>
    </xf>
    <xf numFmtId="168" fontId="6" fillId="0" borderId="0" xfId="15" applyNumberFormat="1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49" fontId="12" fillId="0" borderId="0" xfId="15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7" fillId="0" borderId="0" xfId="15" applyNumberFormat="1" applyFont="1" applyFill="1" applyBorder="1" applyAlignment="1">
      <alignment horizontal="center"/>
    </xf>
    <xf numFmtId="2" fontId="6" fillId="0" borderId="0" xfId="15" applyNumberFormat="1" applyFont="1" applyFill="1" applyBorder="1" applyAlignment="1">
      <alignment horizontal="center"/>
    </xf>
    <xf numFmtId="2" fontId="7" fillId="0" borderId="0" xfId="15" applyNumberFormat="1" applyFont="1" applyFill="1" applyAlignment="1">
      <alignment/>
    </xf>
    <xf numFmtId="2" fontId="6" fillId="0" borderId="0" xfId="15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22" applyNumberFormat="1" applyFont="1" applyFill="1" applyBorder="1" applyAlignment="1">
      <alignment horizontal="center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quotePrefix="1">
      <alignment vertical="top"/>
    </xf>
    <xf numFmtId="0" fontId="6" fillId="0" borderId="0" xfId="15" applyNumberFormat="1" applyFont="1" applyFill="1" applyAlignment="1">
      <alignment/>
    </xf>
    <xf numFmtId="0" fontId="6" fillId="0" borderId="0" xfId="15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0" xfId="15" applyNumberFormat="1" applyFont="1" applyFill="1" applyBorder="1" applyAlignment="1">
      <alignment horizontal="left"/>
    </xf>
    <xf numFmtId="0" fontId="6" fillId="0" borderId="0" xfId="15" applyNumberFormat="1" applyFont="1" applyFill="1" applyBorder="1" applyAlignment="1">
      <alignment horizontal="center"/>
    </xf>
    <xf numFmtId="41" fontId="7" fillId="0" borderId="3" xfId="15" applyNumberFormat="1" applyFont="1" applyFill="1" applyBorder="1" applyAlignment="1">
      <alignment/>
    </xf>
    <xf numFmtId="41" fontId="7" fillId="0" borderId="1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/>
    </xf>
    <xf numFmtId="41" fontId="7" fillId="0" borderId="0" xfId="15" applyNumberFormat="1" applyFont="1" applyFill="1" applyAlignment="1">
      <alignment vertical="top"/>
    </xf>
    <xf numFmtId="41" fontId="7" fillId="0" borderId="2" xfId="15" applyNumberFormat="1" applyFont="1" applyFill="1" applyBorder="1" applyAlignment="1">
      <alignment vertical="top"/>
    </xf>
    <xf numFmtId="41" fontId="7" fillId="0" borderId="0" xfId="15" applyNumberFormat="1" applyFont="1" applyFill="1" applyBorder="1" applyAlignment="1">
      <alignment/>
    </xf>
    <xf numFmtId="41" fontId="7" fillId="0" borderId="3" xfId="15" applyNumberFormat="1" applyFont="1" applyFill="1" applyBorder="1" applyAlignment="1">
      <alignment/>
    </xf>
    <xf numFmtId="41" fontId="7" fillId="0" borderId="11" xfId="15" applyNumberFormat="1" applyFont="1" applyFill="1" applyBorder="1" applyAlignment="1">
      <alignment/>
    </xf>
    <xf numFmtId="41" fontId="7" fillId="0" borderId="4" xfId="15" applyNumberFormat="1" applyFont="1" applyFill="1" applyBorder="1" applyAlignment="1">
      <alignment/>
    </xf>
    <xf numFmtId="41" fontId="7" fillId="0" borderId="2" xfId="15" applyNumberFormat="1" applyFont="1" applyFill="1" applyBorder="1" applyAlignment="1">
      <alignment/>
    </xf>
    <xf numFmtId="41" fontId="6" fillId="0" borderId="0" xfId="15" applyNumberFormat="1" applyFont="1" applyFill="1" applyAlignment="1">
      <alignment/>
    </xf>
    <xf numFmtId="41" fontId="6" fillId="0" borderId="2" xfId="15" applyNumberFormat="1" applyFont="1" applyFill="1" applyBorder="1" applyAlignment="1">
      <alignment vertical="top"/>
    </xf>
    <xf numFmtId="41" fontId="7" fillId="0" borderId="11" xfId="15" applyNumberFormat="1" applyFont="1" applyFill="1" applyBorder="1" applyAlignment="1">
      <alignment/>
    </xf>
    <xf numFmtId="41" fontId="7" fillId="0" borderId="4" xfId="15" applyNumberFormat="1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 horizontal="right"/>
    </xf>
    <xf numFmtId="41" fontId="7" fillId="0" borderId="0" xfId="15" applyNumberFormat="1" applyFont="1" applyFill="1" applyBorder="1" applyAlignment="1" quotePrefix="1">
      <alignment horizontal="center"/>
    </xf>
    <xf numFmtId="41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41" fontId="6" fillId="0" borderId="11" xfId="15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7" fillId="0" borderId="0" xfId="0" applyNumberFormat="1" applyFont="1" applyAlignment="1">
      <alignment horizontal="center"/>
    </xf>
    <xf numFmtId="41" fontId="17" fillId="0" borderId="13" xfId="15" applyNumberFormat="1" applyFont="1" applyFill="1" applyBorder="1" applyAlignment="1">
      <alignment horizontal="right"/>
    </xf>
    <xf numFmtId="41" fontId="9" fillId="0" borderId="13" xfId="15" applyNumberFormat="1" applyFont="1" applyFill="1" applyBorder="1" applyAlignment="1">
      <alignment horizontal="right"/>
    </xf>
    <xf numFmtId="41" fontId="9" fillId="0" borderId="14" xfId="15" applyNumberFormat="1" applyFont="1" applyFill="1" applyBorder="1" applyAlignment="1">
      <alignment horizontal="right"/>
    </xf>
    <xf numFmtId="41" fontId="7" fillId="0" borderId="0" xfId="15" applyNumberFormat="1" applyFont="1" applyFill="1" applyAlignment="1" quotePrefix="1">
      <alignment horizontal="center"/>
    </xf>
    <xf numFmtId="41" fontId="6" fillId="0" borderId="0" xfId="15" applyNumberFormat="1" applyFont="1" applyFill="1" applyBorder="1" applyAlignment="1">
      <alignment/>
    </xf>
    <xf numFmtId="41" fontId="7" fillId="0" borderId="1" xfId="15" applyNumberFormat="1" applyFont="1" applyFill="1" applyBorder="1" applyAlignment="1">
      <alignment/>
    </xf>
    <xf numFmtId="41" fontId="6" fillId="0" borderId="1" xfId="15" applyNumberFormat="1" applyFont="1" applyFill="1" applyBorder="1" applyAlignment="1">
      <alignment/>
    </xf>
    <xf numFmtId="41" fontId="7" fillId="0" borderId="0" xfId="15" applyNumberFormat="1" applyFont="1" applyFill="1" applyBorder="1" applyAlignment="1">
      <alignment vertical="top"/>
    </xf>
    <xf numFmtId="41" fontId="6" fillId="0" borderId="0" xfId="15" applyNumberFormat="1" applyFont="1" applyFill="1" applyBorder="1" applyAlignment="1">
      <alignment vertical="top"/>
    </xf>
    <xf numFmtId="41" fontId="6" fillId="0" borderId="2" xfId="15" applyNumberFormat="1" applyFont="1" applyFill="1" applyBorder="1" applyAlignment="1">
      <alignment/>
    </xf>
    <xf numFmtId="41" fontId="6" fillId="0" borderId="0" xfId="0" applyNumberFormat="1" applyFont="1" applyFill="1" applyAlignment="1">
      <alignment horizontal="right"/>
    </xf>
    <xf numFmtId="41" fontId="6" fillId="0" borderId="0" xfId="15" applyNumberFormat="1" applyFont="1" applyFill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3" xfId="15" applyNumberFormat="1" applyFont="1" applyFill="1" applyBorder="1" applyAlignment="1">
      <alignment horizontal="right"/>
    </xf>
    <xf numFmtId="41" fontId="6" fillId="0" borderId="0" xfId="15" applyNumberFormat="1" applyFont="1" applyFill="1" applyBorder="1" applyAlignment="1" quotePrefix="1">
      <alignment horizontal="right"/>
    </xf>
    <xf numFmtId="41" fontId="7" fillId="0" borderId="15" xfId="15" applyNumberFormat="1" applyFont="1" applyFill="1" applyBorder="1" applyAlignment="1">
      <alignment/>
    </xf>
    <xf numFmtId="41" fontId="6" fillId="0" borderId="15" xfId="15" applyNumberFormat="1" applyFont="1" applyFill="1" applyBorder="1" applyAlignment="1">
      <alignment horizontal="right"/>
    </xf>
    <xf numFmtId="170" fontId="6" fillId="0" borderId="1" xfId="15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center" wrapText="1"/>
    </xf>
    <xf numFmtId="41" fontId="6" fillId="0" borderId="0" xfId="0" applyNumberFormat="1" applyFont="1" applyFill="1" applyAlignment="1">
      <alignment horizontal="justify" vertical="top" wrapText="1"/>
    </xf>
    <xf numFmtId="41" fontId="6" fillId="0" borderId="0" xfId="0" applyNumberFormat="1" applyFont="1" applyFill="1" applyAlignment="1">
      <alignment vertical="top"/>
    </xf>
    <xf numFmtId="49" fontId="12" fillId="0" borderId="0" xfId="15" applyNumberFormat="1" applyFont="1" applyFill="1" applyBorder="1" applyAlignment="1">
      <alignment horizontal="center"/>
    </xf>
    <xf numFmtId="41" fontId="6" fillId="0" borderId="6" xfId="15" applyNumberFormat="1" applyFont="1" applyFill="1" applyBorder="1" applyAlignment="1">
      <alignment horizontal="center"/>
    </xf>
    <xf numFmtId="41" fontId="6" fillId="0" borderId="5" xfId="15" applyNumberFormat="1" applyFont="1" applyFill="1" applyBorder="1" applyAlignment="1">
      <alignment horizontal="center"/>
    </xf>
    <xf numFmtId="41" fontId="6" fillId="0" borderId="16" xfId="15" applyNumberFormat="1" applyFont="1" applyFill="1" applyBorder="1" applyAlignment="1">
      <alignment horizontal="center"/>
    </xf>
    <xf numFmtId="41" fontId="6" fillId="0" borderId="8" xfId="15" applyNumberFormat="1" applyFont="1" applyFill="1" applyBorder="1" applyAlignment="1">
      <alignment horizontal="center"/>
    </xf>
    <xf numFmtId="41" fontId="6" fillId="0" borderId="7" xfId="15" applyNumberFormat="1" applyFont="1" applyFill="1" applyBorder="1" applyAlignment="1">
      <alignment horizontal="center"/>
    </xf>
    <xf numFmtId="41" fontId="6" fillId="0" borderId="10" xfId="15" applyNumberFormat="1" applyFont="1" applyFill="1" applyBorder="1" applyAlignment="1">
      <alignment horizontal="center"/>
    </xf>
    <xf numFmtId="41" fontId="6" fillId="0" borderId="9" xfId="15" applyNumberFormat="1" applyFont="1" applyFill="1" applyBorder="1" applyAlignment="1">
      <alignment horizontal="center"/>
    </xf>
    <xf numFmtId="41" fontId="6" fillId="0" borderId="7" xfId="15" applyNumberFormat="1" applyFont="1" applyFill="1" applyBorder="1" applyAlignment="1">
      <alignment/>
    </xf>
    <xf numFmtId="41" fontId="6" fillId="0" borderId="16" xfId="15" applyNumberFormat="1" applyFont="1" applyFill="1" applyBorder="1" applyAlignment="1">
      <alignment/>
    </xf>
    <xf numFmtId="41" fontId="6" fillId="0" borderId="1" xfId="15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41" fontId="7" fillId="0" borderId="0" xfId="15" applyNumberFormat="1" applyFont="1" applyBorder="1" applyAlignment="1">
      <alignment/>
    </xf>
    <xf numFmtId="41" fontId="6" fillId="0" borderId="0" xfId="15" applyNumberFormat="1" applyFont="1" applyBorder="1" applyAlignment="1">
      <alignment horizontal="center"/>
    </xf>
    <xf numFmtId="41" fontId="7" fillId="0" borderId="15" xfId="15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 quotePrefix="1">
      <alignment horizontal="center" vertical="center"/>
    </xf>
    <xf numFmtId="41" fontId="7" fillId="0" borderId="0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>
      <alignment vertical="top"/>
    </xf>
    <xf numFmtId="41" fontId="7" fillId="0" borderId="0" xfId="0" applyNumberFormat="1" applyFont="1" applyBorder="1" applyAlignment="1">
      <alignment horizontal="center" vertical="top" wrapText="1"/>
    </xf>
    <xf numFmtId="41" fontId="6" fillId="0" borderId="0" xfId="0" applyNumberFormat="1" applyFont="1" applyAlignment="1">
      <alignment vertical="center"/>
    </xf>
    <xf numFmtId="41" fontId="7" fillId="0" borderId="0" xfId="15" applyNumberFormat="1" applyFont="1" applyBorder="1" applyAlignment="1">
      <alignment horizontal="center"/>
    </xf>
    <xf numFmtId="41" fontId="7" fillId="0" borderId="2" xfId="15" applyNumberFormat="1" applyFont="1" applyBorder="1" applyAlignment="1">
      <alignment/>
    </xf>
    <xf numFmtId="41" fontId="7" fillId="0" borderId="0" xfId="15" applyNumberFormat="1" applyFont="1" applyFill="1" applyAlignment="1" quotePrefix="1">
      <alignment/>
    </xf>
    <xf numFmtId="41" fontId="6" fillId="0" borderId="0" xfId="15" applyNumberFormat="1" applyFont="1" applyFill="1" applyAlignment="1" quotePrefix="1">
      <alignment/>
    </xf>
    <xf numFmtId="41" fontId="7" fillId="0" borderId="2" xfId="15" applyNumberFormat="1" applyFont="1" applyFill="1" applyBorder="1" applyAlignment="1" quotePrefix="1">
      <alignment/>
    </xf>
    <xf numFmtId="41" fontId="6" fillId="0" borderId="2" xfId="15" applyNumberFormat="1" applyFont="1" applyFill="1" applyBorder="1" applyAlignment="1" quotePrefix="1">
      <alignment/>
    </xf>
    <xf numFmtId="1" fontId="6" fillId="0" borderId="0" xfId="0" applyNumberFormat="1" applyFont="1" applyFill="1" applyAlignment="1">
      <alignment/>
    </xf>
    <xf numFmtId="41" fontId="6" fillId="0" borderId="3" xfId="15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/>
    </xf>
    <xf numFmtId="41" fontId="17" fillId="0" borderId="14" xfId="15" applyNumberFormat="1" applyFont="1" applyFill="1" applyBorder="1" applyAlignment="1">
      <alignment horizontal="right"/>
    </xf>
    <xf numFmtId="41" fontId="7" fillId="0" borderId="3" xfId="15" applyNumberFormat="1" applyFont="1" applyFill="1" applyBorder="1" applyAlignment="1">
      <alignment vertical="top"/>
    </xf>
    <xf numFmtId="41" fontId="7" fillId="0" borderId="11" xfId="15" applyNumberFormat="1" applyFont="1" applyFill="1" applyBorder="1" applyAlignment="1">
      <alignment vertical="top"/>
    </xf>
    <xf numFmtId="41" fontId="7" fillId="0" borderId="4" xfId="15" applyNumberFormat="1" applyFont="1" applyFill="1" applyBorder="1" applyAlignment="1">
      <alignment vertical="top"/>
    </xf>
    <xf numFmtId="41" fontId="7" fillId="0" borderId="1" xfId="15" applyNumberFormat="1" applyFont="1" applyFill="1" applyBorder="1" applyAlignment="1">
      <alignment vertical="top"/>
    </xf>
    <xf numFmtId="41" fontId="6" fillId="0" borderId="3" xfId="15" applyNumberFormat="1" applyFont="1" applyFill="1" applyBorder="1" applyAlignment="1">
      <alignment vertical="top"/>
    </xf>
    <xf numFmtId="41" fontId="6" fillId="0" borderId="11" xfId="15" applyNumberFormat="1" applyFont="1" applyFill="1" applyBorder="1" applyAlignment="1">
      <alignment vertical="top"/>
    </xf>
    <xf numFmtId="41" fontId="6" fillId="0" borderId="4" xfId="15" applyNumberFormat="1" applyFont="1" applyFill="1" applyBorder="1" applyAlignment="1">
      <alignment vertical="top"/>
    </xf>
    <xf numFmtId="41" fontId="6" fillId="0" borderId="1" xfId="15" applyNumberFormat="1" applyFont="1" applyFill="1" applyBorder="1" applyAlignment="1">
      <alignment vertical="top"/>
    </xf>
    <xf numFmtId="41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1" fontId="1" fillId="0" borderId="0" xfId="15" applyNumberFormat="1" applyFont="1" applyFill="1" applyAlignment="1">
      <alignment vertical="top"/>
    </xf>
    <xf numFmtId="0" fontId="7" fillId="0" borderId="0" xfId="15" applyNumberFormat="1" applyFont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15" applyNumberFormat="1" applyFont="1" applyAlignment="1">
      <alignment vertical="top"/>
    </xf>
    <xf numFmtId="41" fontId="6" fillId="0" borderId="11" xfId="15" applyNumberFormat="1" applyFont="1" applyFill="1" applyBorder="1" applyAlignment="1">
      <alignment/>
    </xf>
    <xf numFmtId="0" fontId="6" fillId="0" borderId="0" xfId="0" applyNumberFormat="1" applyFont="1" applyFill="1" applyAlignment="1">
      <alignment vertical="top"/>
    </xf>
    <xf numFmtId="0" fontId="6" fillId="0" borderId="1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6" fillId="0" borderId="0" xfId="0" applyFont="1" applyFill="1" applyAlignment="1" quotePrefix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justify"/>
    </xf>
    <xf numFmtId="0" fontId="6" fillId="0" borderId="0" xfId="0" applyNumberFormat="1" applyFont="1" applyFill="1" applyBorder="1" applyAlignment="1">
      <alignment vertical="top"/>
    </xf>
    <xf numFmtId="0" fontId="7" fillId="0" borderId="0" xfId="15" applyNumberFormat="1" applyFont="1" applyFill="1" applyAlignment="1" quotePrefix="1">
      <alignment/>
    </xf>
    <xf numFmtId="0" fontId="7" fillId="0" borderId="0" xfId="15" applyNumberFormat="1" applyFont="1" applyFill="1" applyAlignment="1">
      <alignment/>
    </xf>
    <xf numFmtId="0" fontId="6" fillId="0" borderId="0" xfId="15" applyNumberFormat="1" applyFont="1" applyFill="1" applyAlignment="1">
      <alignment/>
    </xf>
    <xf numFmtId="170" fontId="6" fillId="0" borderId="0" xfId="15" applyNumberFormat="1" applyFont="1" applyFill="1" applyAlignment="1" quotePrefix="1">
      <alignment horizontal="center"/>
    </xf>
    <xf numFmtId="0" fontId="6" fillId="0" borderId="0" xfId="15" applyNumberFormat="1" applyFont="1" applyFill="1" applyAlignment="1">
      <alignment horizontal="justify" vertical="top" wrapText="1"/>
    </xf>
    <xf numFmtId="0" fontId="6" fillId="0" borderId="0" xfId="0" applyNumberFormat="1" applyFont="1" applyFill="1" applyAlignment="1">
      <alignment horizontal="justify" vertical="top" wrapText="1"/>
    </xf>
    <xf numFmtId="170" fontId="6" fillId="0" borderId="0" xfId="15" applyNumberFormat="1" applyFont="1" applyFill="1" applyAlignment="1">
      <alignment horizontal="justify" vertical="top"/>
    </xf>
    <xf numFmtId="170" fontId="17" fillId="0" borderId="13" xfId="15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/>
    </xf>
    <xf numFmtId="41" fontId="12" fillId="0" borderId="0" xfId="0" applyNumberFormat="1" applyFont="1" applyFill="1" applyAlignment="1">
      <alignment horizontal="center"/>
    </xf>
    <xf numFmtId="168" fontId="6" fillId="0" borderId="0" xfId="15" applyNumberFormat="1" applyFont="1" applyFill="1" applyBorder="1" applyAlignment="1">
      <alignment horizontal="right"/>
    </xf>
    <xf numFmtId="0" fontId="6" fillId="0" borderId="0" xfId="0" applyFont="1" applyFill="1" applyAlignment="1">
      <alignment horizontal="justify" vertical="justify"/>
    </xf>
    <xf numFmtId="41" fontId="6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horizontal="justify"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6" fillId="0" borderId="0" xfId="0" applyFont="1" applyAlignment="1" quotePrefix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 quotePrefix="1">
      <alignment horizontal="center" vertical="top"/>
    </xf>
    <xf numFmtId="41" fontId="7" fillId="0" borderId="0" xfId="0" applyNumberFormat="1" applyFont="1" applyFill="1" applyAlignment="1">
      <alignment horizontal="center" vertical="center" wrapText="1"/>
    </xf>
    <xf numFmtId="41" fontId="2" fillId="0" borderId="0" xfId="15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41" fontId="3" fillId="0" borderId="0" xfId="15" applyNumberFormat="1" applyFont="1" applyFill="1" applyAlignment="1" quotePrefix="1">
      <alignment horizontal="center" vertical="top"/>
    </xf>
    <xf numFmtId="168" fontId="2" fillId="0" borderId="0" xfId="15" applyNumberFormat="1" applyFont="1" applyFill="1" applyAlignment="1">
      <alignment vertical="top"/>
    </xf>
    <xf numFmtId="168" fontId="2" fillId="0" borderId="0" xfId="15" applyNumberFormat="1" applyFont="1" applyFill="1" applyAlignment="1">
      <alignment horizontal="center" vertical="top"/>
    </xf>
    <xf numFmtId="168" fontId="2" fillId="0" borderId="0" xfId="15" applyNumberFormat="1" applyFont="1" applyFill="1" applyBorder="1" applyAlignment="1">
      <alignment vertical="top"/>
    </xf>
    <xf numFmtId="168" fontId="2" fillId="0" borderId="0" xfId="15" applyNumberFormat="1" applyFont="1" applyFill="1" applyBorder="1" applyAlignment="1">
      <alignment horizontal="center" vertical="top"/>
    </xf>
    <xf numFmtId="41" fontId="2" fillId="0" borderId="0" xfId="0" applyNumberFormat="1" applyFont="1" applyFill="1" applyAlignment="1" quotePrefix="1">
      <alignment horizontal="center" vertical="top"/>
    </xf>
    <xf numFmtId="0" fontId="2" fillId="0" borderId="0" xfId="0" applyFont="1" applyFill="1" applyAlignment="1" quotePrefix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9" fontId="2" fillId="0" borderId="0" xfId="22" applyFont="1" applyFill="1" applyAlignment="1" quotePrefix="1">
      <alignment horizontal="center" vertical="top"/>
    </xf>
    <xf numFmtId="9" fontId="2" fillId="0" borderId="0" xfId="22" applyFont="1" applyFill="1" applyAlignment="1">
      <alignment horizontal="center" vertical="top"/>
    </xf>
    <xf numFmtId="168" fontId="2" fillId="0" borderId="0" xfId="0" applyNumberFormat="1" applyFont="1" applyFill="1" applyAlignment="1">
      <alignment vertical="top"/>
    </xf>
    <xf numFmtId="0" fontId="2" fillId="0" borderId="0" xfId="22" applyNumberFormat="1" applyFont="1" applyFill="1" applyAlignment="1" quotePrefix="1">
      <alignment horizontal="center" vertical="top"/>
    </xf>
    <xf numFmtId="1" fontId="2" fillId="0" borderId="0" xfId="22" applyNumberFormat="1" applyFont="1" applyFill="1" applyAlignment="1">
      <alignment horizontal="center" vertical="top"/>
    </xf>
    <xf numFmtId="168" fontId="2" fillId="0" borderId="1" xfId="15" applyNumberFormat="1" applyFont="1" applyFill="1" applyBorder="1" applyAlignment="1">
      <alignment vertical="top"/>
    </xf>
    <xf numFmtId="9" fontId="2" fillId="0" borderId="0" xfId="22" applyFont="1" applyFill="1" applyBorder="1" applyAlignment="1" quotePrefix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8" fontId="2" fillId="0" borderId="15" xfId="15" applyNumberFormat="1" applyFont="1" applyFill="1" applyBorder="1" applyAlignment="1">
      <alignment vertical="top"/>
    </xf>
    <xf numFmtId="41" fontId="2" fillId="0" borderId="0" xfId="15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170" fontId="2" fillId="0" borderId="15" xfId="15" applyNumberFormat="1" applyFont="1" applyFill="1" applyBorder="1" applyAlignment="1">
      <alignment vertical="top"/>
    </xf>
    <xf numFmtId="170" fontId="2" fillId="0" borderId="0" xfId="15" applyNumberFormat="1" applyFont="1" applyFill="1" applyAlignment="1">
      <alignment vertical="top"/>
    </xf>
    <xf numFmtId="170" fontId="2" fillId="0" borderId="0" xfId="15" applyNumberFormat="1" applyFont="1" applyFill="1" applyAlignment="1">
      <alignment horizontal="center" vertical="top"/>
    </xf>
    <xf numFmtId="168" fontId="2" fillId="0" borderId="15" xfId="0" applyNumberFormat="1" applyFont="1" applyFill="1" applyBorder="1" applyAlignment="1">
      <alignment vertical="top"/>
    </xf>
    <xf numFmtId="168" fontId="3" fillId="0" borderId="0" xfId="15" applyNumberFormat="1" applyFont="1" applyFill="1" applyAlignment="1">
      <alignment vertical="top"/>
    </xf>
    <xf numFmtId="168" fontId="3" fillId="0" borderId="0" xfId="15" applyNumberFormat="1" applyFont="1" applyFill="1" applyAlignment="1">
      <alignment horizontal="center" vertical="top"/>
    </xf>
    <xf numFmtId="168" fontId="3" fillId="0" borderId="0" xfId="15" applyNumberFormat="1" applyFont="1" applyFill="1" applyBorder="1" applyAlignment="1">
      <alignment vertical="top"/>
    </xf>
    <xf numFmtId="168" fontId="3" fillId="0" borderId="0" xfId="15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vertical="top"/>
    </xf>
    <xf numFmtId="168" fontId="3" fillId="0" borderId="15" xfId="15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170" fontId="12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NumberFormat="1" applyFont="1" applyFill="1" applyAlignment="1">
      <alignment horizontal="center" vertical="top" wrapText="1"/>
    </xf>
    <xf numFmtId="41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 quotePrefix="1">
      <alignment horizontal="center" vertical="top"/>
    </xf>
    <xf numFmtId="0" fontId="6" fillId="0" borderId="0" xfId="0" applyFont="1" applyFill="1" applyAlignment="1" quotePrefix="1">
      <alignment horizontal="center" vertical="top"/>
    </xf>
    <xf numFmtId="43" fontId="6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7" fillId="0" borderId="1" xfId="0" applyFont="1" applyFill="1" applyBorder="1" applyAlignment="1" quotePrefix="1">
      <alignment horizontal="center" vertical="top"/>
    </xf>
    <xf numFmtId="0" fontId="7" fillId="0" borderId="0" xfId="0" applyNumberFormat="1" applyFont="1" applyFill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top" wrapText="1"/>
    </xf>
    <xf numFmtId="170" fontId="7" fillId="0" borderId="0" xfId="0" applyNumberFormat="1" applyFont="1" applyFill="1" applyBorder="1" applyAlignment="1">
      <alignment horizontal="center" vertical="top"/>
    </xf>
    <xf numFmtId="0" fontId="7" fillId="0" borderId="0" xfId="15" applyNumberFormat="1" applyFont="1" applyAlignment="1" quotePrefix="1">
      <alignment vertical="top"/>
    </xf>
    <xf numFmtId="170" fontId="6" fillId="0" borderId="0" xfId="15" applyNumberFormat="1" applyFont="1" applyAlignment="1">
      <alignment vertical="top"/>
    </xf>
    <xf numFmtId="170" fontId="6" fillId="0" borderId="2" xfId="15" applyNumberFormat="1" applyFont="1" applyFill="1" applyBorder="1" applyAlignment="1">
      <alignment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15" applyNumberFormat="1" applyFont="1" applyFill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170" fontId="6" fillId="0" borderId="16" xfId="15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0" fontId="7" fillId="0" borderId="0" xfId="0" applyNumberFormat="1" applyFont="1" applyFill="1" applyAlignment="1" quotePrefix="1">
      <alignment vertical="top"/>
    </xf>
    <xf numFmtId="0" fontId="7" fillId="0" borderId="0" xfId="0" applyNumberFormat="1" applyFont="1" applyFill="1" applyAlignment="1">
      <alignment vertical="top"/>
    </xf>
    <xf numFmtId="41" fontId="2" fillId="0" borderId="0" xfId="15" applyNumberFormat="1" applyFont="1" applyFill="1" applyAlignment="1">
      <alignment horizontal="center" vertical="top"/>
    </xf>
    <xf numFmtId="41" fontId="2" fillId="0" borderId="0" xfId="15" applyNumberFormat="1" applyFont="1" applyFill="1" applyBorder="1" applyAlignment="1">
      <alignment horizontal="center" vertical="top"/>
    </xf>
    <xf numFmtId="41" fontId="2" fillId="0" borderId="0" xfId="0" applyNumberFormat="1" applyFont="1" applyFill="1" applyAlignment="1">
      <alignment vertical="top"/>
    </xf>
    <xf numFmtId="41" fontId="3" fillId="0" borderId="15" xfId="0" applyNumberFormat="1" applyFont="1" applyFill="1" applyBorder="1" applyAlignment="1">
      <alignment vertical="top"/>
    </xf>
    <xf numFmtId="0" fontId="3" fillId="0" borderId="0" xfId="0" applyFont="1" applyFill="1" applyAlignment="1" quotePrefix="1">
      <alignment vertical="top"/>
    </xf>
    <xf numFmtId="168" fontId="2" fillId="0" borderId="1" xfId="15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horizontal="center" vertical="top"/>
    </xf>
    <xf numFmtId="170" fontId="2" fillId="0" borderId="15" xfId="15" applyNumberFormat="1" applyFont="1" applyFill="1" applyBorder="1" applyAlignment="1">
      <alignment horizontal="center" vertical="top"/>
    </xf>
    <xf numFmtId="177" fontId="6" fillId="0" borderId="0" xfId="15" applyNumberFormat="1" applyFont="1" applyFill="1" applyBorder="1" applyAlignment="1">
      <alignment horizontal="center"/>
    </xf>
    <xf numFmtId="167" fontId="1" fillId="0" borderId="0" xfId="15" applyFont="1" applyFill="1" applyAlignment="1">
      <alignment vertical="top"/>
    </xf>
    <xf numFmtId="170" fontId="3" fillId="0" borderId="0" xfId="15" applyNumberFormat="1" applyFont="1" applyFill="1" applyBorder="1" applyAlignment="1">
      <alignment vertical="top"/>
    </xf>
    <xf numFmtId="170" fontId="3" fillId="0" borderId="0" xfId="15" applyNumberFormat="1" applyFont="1" applyFill="1" applyBorder="1" applyAlignment="1">
      <alignment horizontal="center" vertical="top"/>
    </xf>
    <xf numFmtId="168" fontId="2" fillId="0" borderId="15" xfId="0" applyNumberFormat="1" applyFont="1" applyFill="1" applyBorder="1" applyAlignment="1">
      <alignment horizontal="center" vertical="top"/>
    </xf>
    <xf numFmtId="41" fontId="18" fillId="0" borderId="0" xfId="15" applyNumberFormat="1" applyFont="1" applyBorder="1" applyAlignment="1">
      <alignment horizontal="center"/>
    </xf>
    <xf numFmtId="0" fontId="6" fillId="0" borderId="0" xfId="15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quotePrefix="1">
      <alignment vertical="top"/>
    </xf>
    <xf numFmtId="0" fontId="7" fillId="0" borderId="0" xfId="0" applyNumberFormat="1" applyFont="1" applyFill="1" applyBorder="1" applyAlignment="1" quotePrefix="1">
      <alignment vertical="top"/>
    </xf>
    <xf numFmtId="170" fontId="20" fillId="0" borderId="1" xfId="15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top"/>
    </xf>
    <xf numFmtId="37" fontId="6" fillId="0" borderId="2" xfId="15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170" fontId="6" fillId="0" borderId="0" xfId="15" applyNumberFormat="1" applyFont="1" applyFill="1" applyBorder="1" applyAlignment="1">
      <alignment/>
    </xf>
    <xf numFmtId="170" fontId="6" fillId="0" borderId="3" xfId="15" applyNumberFormat="1" applyFont="1" applyFill="1" applyBorder="1" applyAlignment="1">
      <alignment/>
    </xf>
    <xf numFmtId="170" fontId="6" fillId="0" borderId="4" xfId="15" applyNumberFormat="1" applyFont="1" applyFill="1" applyBorder="1" applyAlignment="1">
      <alignment/>
    </xf>
    <xf numFmtId="170" fontId="6" fillId="0" borderId="1" xfId="15" applyNumberFormat="1" applyFont="1" applyFill="1" applyBorder="1" applyAlignment="1">
      <alignment/>
    </xf>
    <xf numFmtId="168" fontId="6" fillId="0" borderId="1" xfId="15" applyNumberFormat="1" applyFont="1" applyFill="1" applyBorder="1" applyAlignment="1">
      <alignment/>
    </xf>
    <xf numFmtId="170" fontId="6" fillId="0" borderId="2" xfId="15" applyNumberFormat="1" applyFont="1" applyFill="1" applyBorder="1" applyAlignment="1">
      <alignment/>
    </xf>
    <xf numFmtId="170" fontId="7" fillId="0" borderId="0" xfId="15" applyNumberFormat="1" applyFont="1" applyFill="1" applyBorder="1" applyAlignment="1">
      <alignment/>
    </xf>
    <xf numFmtId="168" fontId="7" fillId="0" borderId="0" xfId="15" applyNumberFormat="1" applyFont="1" applyFill="1" applyBorder="1" applyAlignment="1">
      <alignment/>
    </xf>
    <xf numFmtId="41" fontId="7" fillId="0" borderId="16" xfId="15" applyNumberFormat="1" applyFont="1" applyFill="1" applyBorder="1" applyAlignment="1">
      <alignment/>
    </xf>
    <xf numFmtId="41" fontId="6" fillId="0" borderId="16" xfId="15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6" fillId="0" borderId="0" xfId="15" applyNumberFormat="1" applyFont="1" applyBorder="1" applyAlignment="1">
      <alignment/>
    </xf>
    <xf numFmtId="41" fontId="6" fillId="0" borderId="0" xfId="15" applyNumberFormat="1" applyFont="1" applyBorder="1" applyAlignment="1" quotePrefix="1">
      <alignment/>
    </xf>
    <xf numFmtId="41" fontId="6" fillId="0" borderId="1" xfId="15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0" fontId="2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1" fontId="21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37" fontId="3" fillId="0" borderId="15" xfId="0" applyNumberFormat="1" applyFont="1" applyFill="1" applyBorder="1" applyAlignment="1">
      <alignment vertical="top"/>
    </xf>
    <xf numFmtId="170" fontId="20" fillId="0" borderId="0" xfId="15" applyNumberFormat="1" applyFont="1" applyFill="1" applyAlignment="1">
      <alignment/>
    </xf>
    <xf numFmtId="170" fontId="20" fillId="0" borderId="0" xfId="15" applyNumberFormat="1" applyFont="1" applyFill="1" applyBorder="1" applyAlignment="1">
      <alignment/>
    </xf>
    <xf numFmtId="170" fontId="20" fillId="0" borderId="0" xfId="15" applyNumberFormat="1" applyFont="1" applyFill="1" applyAlignment="1">
      <alignment horizontal="center"/>
    </xf>
    <xf numFmtId="0" fontId="20" fillId="0" borderId="16" xfId="15" applyNumberFormat="1" applyFont="1" applyFill="1" applyBorder="1" applyAlignment="1">
      <alignment horizontal="center" vertical="top"/>
    </xf>
    <xf numFmtId="170" fontId="20" fillId="0" borderId="16" xfId="15" applyNumberFormat="1" applyFont="1" applyFill="1" applyBorder="1" applyAlignment="1">
      <alignment horizontal="center" vertical="top" wrapText="1"/>
    </xf>
    <xf numFmtId="170" fontId="20" fillId="0" borderId="0" xfId="15" applyNumberFormat="1" applyFont="1" applyFill="1" applyBorder="1" applyAlignment="1">
      <alignment horizontal="center"/>
    </xf>
    <xf numFmtId="0" fontId="20" fillId="0" borderId="0" xfId="15" applyNumberFormat="1" applyFont="1" applyFill="1" applyBorder="1" applyAlignment="1">
      <alignment horizontal="center" vertical="top"/>
    </xf>
    <xf numFmtId="170" fontId="20" fillId="0" borderId="0" xfId="15" applyNumberFormat="1" applyFont="1" applyFill="1" applyBorder="1" applyAlignment="1">
      <alignment horizontal="center" vertical="top" wrapText="1"/>
    </xf>
    <xf numFmtId="0" fontId="20" fillId="0" borderId="1" xfId="15" applyNumberFormat="1" applyFont="1" applyFill="1" applyBorder="1" applyAlignment="1">
      <alignment horizontal="center" vertical="top"/>
    </xf>
    <xf numFmtId="0" fontId="20" fillId="0" borderId="0" xfId="15" applyNumberFormat="1" applyFont="1" applyFill="1" applyAlignment="1">
      <alignment/>
    </xf>
    <xf numFmtId="0" fontId="21" fillId="0" borderId="0" xfId="15" applyNumberFormat="1" applyFont="1" applyFill="1" applyAlignment="1">
      <alignment/>
    </xf>
    <xf numFmtId="170" fontId="21" fillId="0" borderId="0" xfId="15" applyNumberFormat="1" applyFont="1" applyFill="1" applyAlignment="1">
      <alignment/>
    </xf>
    <xf numFmtId="41" fontId="21" fillId="0" borderId="0" xfId="15" applyNumberFormat="1" applyFont="1" applyFill="1" applyAlignment="1" quotePrefix="1">
      <alignment horizontal="center"/>
    </xf>
    <xf numFmtId="170" fontId="21" fillId="0" borderId="0" xfId="15" applyNumberFormat="1" applyFont="1" applyFill="1" applyAlignment="1" quotePrefix="1">
      <alignment/>
    </xf>
    <xf numFmtId="0" fontId="20" fillId="0" borderId="0" xfId="15" applyNumberFormat="1" applyFont="1" applyFill="1" applyAlignment="1" quotePrefix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21" applyFont="1">
      <alignment/>
      <protection/>
    </xf>
    <xf numFmtId="167" fontId="6" fillId="0" borderId="0" xfId="15" applyFont="1" applyFill="1" applyAlignment="1">
      <alignment/>
    </xf>
    <xf numFmtId="167" fontId="6" fillId="0" borderId="0" xfId="15" applyFont="1" applyAlignment="1">
      <alignment/>
    </xf>
    <xf numFmtId="0" fontId="7" fillId="0" borderId="0" xfId="15" applyNumberFormat="1" applyFont="1" applyFill="1" applyAlignment="1" quotePrefix="1">
      <alignment vertical="top"/>
    </xf>
    <xf numFmtId="0" fontId="7" fillId="0" borderId="0" xfId="15" applyNumberFormat="1" applyFont="1" applyFill="1" applyAlignment="1" quotePrefix="1">
      <alignment horizontal="left"/>
    </xf>
    <xf numFmtId="168" fontId="2" fillId="0" borderId="1" xfId="0" applyNumberFormat="1" applyFont="1" applyFill="1" applyBorder="1" applyAlignment="1">
      <alignment horizontal="center" vertical="top"/>
    </xf>
    <xf numFmtId="168" fontId="2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NumberFormat="1" applyFont="1" applyFill="1" applyBorder="1" applyAlignment="1">
      <alignment horizontal="center" vertical="top"/>
    </xf>
    <xf numFmtId="16" fontId="7" fillId="0" borderId="0" xfId="0" applyNumberFormat="1" applyFont="1" applyFill="1" applyBorder="1" applyAlignment="1" quotePrefix="1">
      <alignment horizontal="center" vertical="top"/>
    </xf>
    <xf numFmtId="0" fontId="7" fillId="0" borderId="0" xfId="0" applyNumberFormat="1" applyFont="1" applyBorder="1" applyAlignment="1">
      <alignment vertical="top"/>
    </xf>
    <xf numFmtId="41" fontId="6" fillId="0" borderId="3" xfId="15" applyNumberFormat="1" applyFont="1" applyBorder="1" applyAlignment="1">
      <alignment/>
    </xf>
    <xf numFmtId="41" fontId="6" fillId="0" borderId="11" xfId="15" applyNumberFormat="1" applyFont="1" applyBorder="1" applyAlignment="1">
      <alignment/>
    </xf>
    <xf numFmtId="41" fontId="6" fillId="0" borderId="4" xfId="15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167" fontId="6" fillId="0" borderId="3" xfId="15" applyFont="1" applyBorder="1" applyAlignment="1">
      <alignment/>
    </xf>
    <xf numFmtId="167" fontId="6" fillId="0" borderId="11" xfId="15" applyFont="1" applyBorder="1" applyAlignment="1">
      <alignment/>
    </xf>
    <xf numFmtId="167" fontId="6" fillId="0" borderId="4" xfId="15" applyFont="1" applyBorder="1" applyAlignment="1">
      <alignment/>
    </xf>
    <xf numFmtId="41" fontId="6" fillId="0" borderId="11" xfId="0" applyNumberFormat="1" applyFont="1" applyBorder="1" applyAlignment="1">
      <alignment/>
    </xf>
    <xf numFmtId="212" fontId="19" fillId="0" borderId="11" xfId="0" applyNumberFormat="1" applyFont="1" applyBorder="1" applyAlignment="1">
      <alignment/>
    </xf>
    <xf numFmtId="167" fontId="6" fillId="0" borderId="0" xfId="15" applyFont="1" applyBorder="1" applyAlignment="1">
      <alignment/>
    </xf>
    <xf numFmtId="168" fontId="7" fillId="0" borderId="2" xfId="15" applyNumberFormat="1" applyFont="1" applyFill="1" applyBorder="1" applyAlignment="1">
      <alignment/>
    </xf>
    <xf numFmtId="41" fontId="7" fillId="0" borderId="17" xfId="15" applyNumberFormat="1" applyFont="1" applyFill="1" applyBorder="1" applyAlignment="1">
      <alignment/>
    </xf>
    <xf numFmtId="41" fontId="6" fillId="0" borderId="17" xfId="15" applyNumberFormat="1" applyFont="1" applyFill="1" applyBorder="1" applyAlignment="1">
      <alignment/>
    </xf>
    <xf numFmtId="41" fontId="7" fillId="0" borderId="15" xfId="15" applyNumberFormat="1" applyFont="1" applyFill="1" applyBorder="1" applyAlignment="1">
      <alignment/>
    </xf>
    <xf numFmtId="41" fontId="6" fillId="0" borderId="15" xfId="15" applyNumberFormat="1" applyFont="1" applyFill="1" applyBorder="1" applyAlignment="1">
      <alignment/>
    </xf>
    <xf numFmtId="41" fontId="20" fillId="0" borderId="0" xfId="15" applyNumberFormat="1" applyFont="1" applyFill="1" applyAlignment="1">
      <alignment/>
    </xf>
    <xf numFmtId="170" fontId="21" fillId="0" borderId="0" xfId="15" applyNumberFormat="1" applyFont="1" applyFill="1" applyBorder="1" applyAlignment="1">
      <alignment/>
    </xf>
    <xf numFmtId="41" fontId="21" fillId="0" borderId="0" xfId="15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41" fontId="20" fillId="0" borderId="2" xfId="15" applyNumberFormat="1" applyFont="1" applyFill="1" applyBorder="1" applyAlignment="1">
      <alignment/>
    </xf>
    <xf numFmtId="41" fontId="21" fillId="0" borderId="2" xfId="15" applyNumberFormat="1" applyFont="1" applyFill="1" applyBorder="1" applyAlignment="1">
      <alignment/>
    </xf>
    <xf numFmtId="170" fontId="21" fillId="0" borderId="0" xfId="15" applyNumberFormat="1" applyFont="1" applyFill="1" applyAlignment="1">
      <alignment/>
    </xf>
    <xf numFmtId="170" fontId="21" fillId="0" borderId="2" xfId="15" applyNumberFormat="1" applyFont="1" applyFill="1" applyBorder="1" applyAlignment="1">
      <alignment/>
    </xf>
    <xf numFmtId="170" fontId="6" fillId="0" borderId="11" xfId="15" applyNumberFormat="1" applyFont="1" applyFill="1" applyBorder="1" applyAlignment="1">
      <alignment/>
    </xf>
    <xf numFmtId="170" fontId="7" fillId="0" borderId="0" xfId="15" applyNumberFormat="1" applyFont="1" applyFill="1" applyAlignment="1">
      <alignment/>
    </xf>
    <xf numFmtId="37" fontId="6" fillId="0" borderId="2" xfId="0" applyNumberFormat="1" applyFont="1" applyFill="1" applyBorder="1" applyAlignment="1">
      <alignment/>
    </xf>
    <xf numFmtId="170" fontId="7" fillId="0" borderId="15" xfId="15" applyNumberFormat="1" applyFont="1" applyFill="1" applyBorder="1" applyAlignment="1">
      <alignment/>
    </xf>
    <xf numFmtId="170" fontId="6" fillId="0" borderId="15" xfId="15" applyNumberFormat="1" applyFont="1" applyFill="1" applyBorder="1" applyAlignment="1">
      <alignment/>
    </xf>
    <xf numFmtId="170" fontId="6" fillId="0" borderId="15" xfId="15" applyNumberFormat="1" applyFont="1" applyFill="1" applyBorder="1" applyAlignment="1">
      <alignment vertical="top" wrapText="1"/>
    </xf>
    <xf numFmtId="170" fontId="6" fillId="0" borderId="15" xfId="15" applyNumberFormat="1" applyFont="1" applyFill="1" applyBorder="1" applyAlignment="1" quotePrefix="1">
      <alignment wrapText="1"/>
    </xf>
    <xf numFmtId="170" fontId="7" fillId="0" borderId="0" xfId="15" applyNumberFormat="1" applyFont="1" applyFill="1" applyAlignment="1">
      <alignment vertical="top" wrapText="1"/>
    </xf>
    <xf numFmtId="41" fontId="7" fillId="0" borderId="2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170" fontId="6" fillId="0" borderId="2" xfId="15" applyNumberFormat="1" applyFont="1" applyFill="1" applyBorder="1" applyAlignment="1">
      <alignment horizontal="right"/>
    </xf>
    <xf numFmtId="170" fontId="6" fillId="0" borderId="2" xfId="0" applyNumberFormat="1" applyFont="1" applyFill="1" applyBorder="1" applyAlignment="1">
      <alignment horizontal="right"/>
    </xf>
    <xf numFmtId="41" fontId="6" fillId="0" borderId="15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0" xfId="0" applyNumberFormat="1" applyFont="1" applyFill="1" applyBorder="1" applyAlignment="1">
      <alignment/>
    </xf>
    <xf numFmtId="41" fontId="7" fillId="0" borderId="1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/>
    </xf>
    <xf numFmtId="167" fontId="6" fillId="0" borderId="0" xfId="15" applyFont="1" applyFill="1" applyBorder="1" applyAlignment="1">
      <alignment/>
    </xf>
    <xf numFmtId="168" fontId="6" fillId="0" borderId="0" xfId="15" applyNumberFormat="1" applyFont="1" applyBorder="1" applyAlignment="1">
      <alignment/>
    </xf>
    <xf numFmtId="41" fontId="7" fillId="0" borderId="1" xfId="15" applyNumberFormat="1" applyFont="1" applyBorder="1" applyAlignment="1">
      <alignment/>
    </xf>
    <xf numFmtId="168" fontId="6" fillId="0" borderId="1" xfId="15" applyNumberFormat="1" applyFont="1" applyBorder="1" applyAlignment="1">
      <alignment/>
    </xf>
    <xf numFmtId="0" fontId="6" fillId="0" borderId="1" xfId="0" applyFont="1" applyFill="1" applyBorder="1" applyAlignment="1">
      <alignment/>
    </xf>
    <xf numFmtId="170" fontId="6" fillId="0" borderId="0" xfId="15" applyNumberFormat="1" applyFont="1" applyAlignment="1">
      <alignment/>
    </xf>
    <xf numFmtId="41" fontId="6" fillId="0" borderId="0" xfId="15" applyNumberFormat="1" applyFont="1" applyFill="1" applyBorder="1" applyAlignment="1" quotePrefix="1">
      <alignment/>
    </xf>
    <xf numFmtId="170" fontId="6" fillId="0" borderId="18" xfId="15" applyNumberFormat="1" applyFont="1" applyBorder="1" applyAlignment="1">
      <alignment/>
    </xf>
    <xf numFmtId="168" fontId="6" fillId="0" borderId="18" xfId="15" applyNumberFormat="1" applyFont="1" applyBorder="1" applyAlignment="1">
      <alignment horizontal="left" indent="3"/>
    </xf>
    <xf numFmtId="170" fontId="6" fillId="0" borderId="18" xfId="15" applyNumberFormat="1" applyFont="1" applyBorder="1" applyAlignment="1">
      <alignment/>
    </xf>
    <xf numFmtId="41" fontId="21" fillId="0" borderId="0" xfId="15" applyNumberFormat="1" applyFont="1" applyFill="1" applyBorder="1" applyAlignment="1">
      <alignment/>
    </xf>
    <xf numFmtId="41" fontId="21" fillId="0" borderId="0" xfId="15" applyNumberFormat="1" applyFont="1" applyFill="1" applyAlignment="1" quotePrefix="1">
      <alignment/>
    </xf>
    <xf numFmtId="41" fontId="21" fillId="0" borderId="16" xfId="15" applyNumberFormat="1" applyFont="1" applyFill="1" applyBorder="1" applyAlignment="1">
      <alignment/>
    </xf>
    <xf numFmtId="0" fontId="7" fillId="0" borderId="0" xfId="15" applyNumberFormat="1" applyFont="1" applyFill="1" applyAlignment="1">
      <alignment/>
    </xf>
    <xf numFmtId="0" fontId="20" fillId="0" borderId="0" xfId="0" applyNumberFormat="1" applyFont="1" applyFill="1" applyAlignment="1">
      <alignment vertical="top"/>
    </xf>
    <xf numFmtId="0" fontId="23" fillId="0" borderId="0" xfId="0" applyNumberFormat="1" applyFont="1" applyAlignment="1">
      <alignment vertical="top"/>
    </xf>
    <xf numFmtId="0" fontId="21" fillId="0" borderId="0" xfId="0" applyNumberFormat="1" applyFont="1" applyFill="1" applyAlignment="1">
      <alignment vertical="top"/>
    </xf>
    <xf numFmtId="0" fontId="21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top"/>
    </xf>
    <xf numFmtId="170" fontId="21" fillId="0" borderId="0" xfId="15" applyNumberFormat="1" applyFont="1" applyFill="1" applyAlignment="1">
      <alignment vertical="top"/>
    </xf>
    <xf numFmtId="168" fontId="6" fillId="0" borderId="0" xfId="15" applyNumberFormat="1" applyFont="1" applyBorder="1" applyAlignment="1">
      <alignment vertical="top"/>
    </xf>
    <xf numFmtId="0" fontId="6" fillId="0" borderId="0" xfId="0" applyFont="1" applyFill="1" applyAlignment="1">
      <alignment horizontal="left" vertical="justify"/>
    </xf>
    <xf numFmtId="167" fontId="21" fillId="0" borderId="0" xfId="15" applyFont="1" applyAlignment="1">
      <alignment/>
    </xf>
    <xf numFmtId="0" fontId="6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1" fontId="3" fillId="0" borderId="0" xfId="15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 quotePrefix="1">
      <alignment horizontal="center" vertical="top" wrapText="1"/>
    </xf>
    <xf numFmtId="0" fontId="6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justify"/>
    </xf>
    <xf numFmtId="0" fontId="6" fillId="0" borderId="0" xfId="0" applyFont="1" applyFill="1" applyAlignment="1">
      <alignment horizontal="justify" vertical="justify"/>
    </xf>
    <xf numFmtId="0" fontId="6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top" wrapText="1"/>
    </xf>
    <xf numFmtId="4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41" fontId="7" fillId="0" borderId="1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 quotePrefix="1">
      <alignment horizontal="center" vertical="center" wrapText="1"/>
    </xf>
    <xf numFmtId="41" fontId="7" fillId="0" borderId="0" xfId="0" applyNumberFormat="1" applyFont="1" applyBorder="1" applyAlignment="1" quotePrefix="1">
      <alignment horizontal="center" vertical="center" wrapText="1"/>
    </xf>
    <xf numFmtId="41" fontId="7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Border="1" applyAlignment="1" quotePrefix="1">
      <alignment horizontal="center"/>
    </xf>
    <xf numFmtId="41" fontId="7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41" fontId="7" fillId="0" borderId="0" xfId="15" applyNumberFormat="1" applyFont="1" applyFill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 quotePrefix="1">
      <alignment horizontal="center"/>
    </xf>
    <xf numFmtId="0" fontId="2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41" fontId="7" fillId="0" borderId="16" xfId="0" applyNumberFormat="1" applyFont="1" applyFill="1" applyBorder="1" applyAlignment="1">
      <alignment horizontal="center" vertical="top" wrapText="1"/>
    </xf>
    <xf numFmtId="41" fontId="7" fillId="0" borderId="0" xfId="0" applyNumberFormat="1" applyFont="1" applyFill="1" applyBorder="1" applyAlignment="1">
      <alignment horizontal="center" vertical="top" wrapText="1"/>
    </xf>
    <xf numFmtId="41" fontId="7" fillId="0" borderId="0" xfId="0" applyNumberFormat="1" applyFont="1" applyFill="1" applyAlignment="1">
      <alignment horizontal="center" vertical="top" wrapText="1"/>
    </xf>
    <xf numFmtId="0" fontId="16" fillId="0" borderId="0" xfId="20" applyFont="1" applyFill="1" applyAlignment="1">
      <alignment horizontal="center"/>
    </xf>
    <xf numFmtId="170" fontId="20" fillId="0" borderId="1" xfId="15" applyNumberFormat="1" applyFont="1" applyFill="1" applyBorder="1" applyAlignment="1">
      <alignment horizontal="center" vertical="top" wrapText="1"/>
    </xf>
    <xf numFmtId="0" fontId="7" fillId="0" borderId="1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170" fontId="6" fillId="0" borderId="0" xfId="15" applyNumberFormat="1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&amp;L Breaku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k-khifsr01\auditb06\Documents%20and%20Settings\bhaq\Desktop\SBP%20Acc%2008-07\accounts\SBP%20Financial%20Statements%202005-06%20KPM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mk"/>
      <sheetName val="BS-ISS"/>
      <sheetName val="BS-BAN"/>
      <sheetName val="P AND L "/>
      <sheetName val="Cashflow"/>
      <sheetName val="equity"/>
      <sheetName val="NOTE 3 - 4.4"/>
      <sheetName val="NOTE 5 - 10"/>
      <sheetName val="Note 10.1 - 11"/>
      <sheetName val="NOTE 12 - 15"/>
      <sheetName val="NOTE 15.1 - 15.4"/>
      <sheetName val="NOTE 16 - 20"/>
      <sheetName val="Note 20.1 - 23.1"/>
      <sheetName val="NOTE 24 - 25.1"/>
      <sheetName val="NOTE 24.2 - 25.1"/>
      <sheetName val="NOTE 26.2 - 29"/>
      <sheetName val="NOTE 30 - 32.1"/>
      <sheetName val="NOTE 32.2 - 35"/>
      <sheetName val="NOTE 36 - 41"/>
      <sheetName val="NOTE 41 - 41.1"/>
      <sheetName val="NOTE 42.1-43.3"/>
      <sheetName val="NOTE 41.4 - 41.4.3"/>
      <sheetName val="NOTE 41.5 - 41.7"/>
      <sheetName val="NOTE 42 - 45"/>
      <sheetName val="NOTE 46.1 - 46.1.3"/>
      <sheetName val="NOTE 48 - 49"/>
      <sheetName val="NOTE 46"/>
      <sheetName val="NOTE 46.1.4 - 47.1"/>
    </sheetNames>
    <sheetDataSet>
      <sheetData sheetId="4">
        <row r="33">
          <cell r="L33">
            <v>31049235.526319996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workbookViewId="0" topLeftCell="B829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49"/>
  <sheetViews>
    <sheetView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3.8515625" style="9" bestFit="1" customWidth="1"/>
    <col min="2" max="2" width="4.00390625" style="9" customWidth="1"/>
    <col min="3" max="3" width="21.8515625" style="9" customWidth="1"/>
    <col min="4" max="4" width="6.00390625" style="9" customWidth="1"/>
    <col min="5" max="5" width="5.28125" style="9" customWidth="1"/>
    <col min="6" max="6" width="1.8515625" style="9" customWidth="1"/>
    <col min="7" max="7" width="8.00390625" style="9" customWidth="1"/>
    <col min="8" max="8" width="7.8515625" style="9" customWidth="1"/>
    <col min="9" max="9" width="14.00390625" style="9" customWidth="1"/>
    <col min="10" max="10" width="2.140625" style="9" customWidth="1"/>
    <col min="11" max="11" width="16.421875" style="9" customWidth="1"/>
    <col min="12" max="12" width="1.57421875" style="2" customWidth="1"/>
    <col min="13" max="13" width="7.57421875" style="2" customWidth="1"/>
    <col min="14" max="14" width="12.57421875" style="2" customWidth="1"/>
    <col min="15" max="15" width="9.57421875" style="2" customWidth="1"/>
    <col min="16" max="20" width="7.57421875" style="2" customWidth="1"/>
    <col min="21" max="16384" width="7.57421875" style="9" customWidth="1"/>
  </cols>
  <sheetData>
    <row r="1" spans="1:11" ht="15">
      <c r="A1" s="105" t="s">
        <v>233</v>
      </c>
      <c r="B1" s="10" t="s">
        <v>764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1:11" ht="6" customHeight="1">
      <c r="A2" s="112"/>
      <c r="B2" s="104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5">
      <c r="A3" s="112"/>
      <c r="B3" s="104" t="s">
        <v>342</v>
      </c>
      <c r="C3" s="423"/>
      <c r="D3" s="308"/>
      <c r="E3" s="308"/>
      <c r="F3" s="308"/>
      <c r="G3" s="308"/>
      <c r="H3" s="308"/>
      <c r="I3" s="422"/>
      <c r="J3" s="422"/>
      <c r="K3" s="422"/>
    </row>
    <row r="4" spans="1:11" ht="15">
      <c r="A4" s="112"/>
      <c r="B4" s="104" t="s">
        <v>214</v>
      </c>
      <c r="C4" s="423"/>
      <c r="D4" s="308"/>
      <c r="E4" s="308"/>
      <c r="F4" s="308"/>
      <c r="G4" s="308"/>
      <c r="H4" s="308"/>
      <c r="I4" s="422"/>
      <c r="J4" s="422"/>
      <c r="K4" s="422"/>
    </row>
    <row r="5" spans="1:11" ht="15">
      <c r="A5" s="114"/>
      <c r="B5" s="104" t="s">
        <v>215</v>
      </c>
      <c r="C5" s="308"/>
      <c r="D5" s="308"/>
      <c r="E5" s="308"/>
      <c r="F5" s="308"/>
      <c r="G5" s="308"/>
      <c r="H5" s="308"/>
      <c r="I5" s="422"/>
      <c r="J5" s="422"/>
      <c r="K5" s="422"/>
    </row>
    <row r="6" spans="1:11" ht="15">
      <c r="A6" s="114"/>
      <c r="B6" s="104" t="s">
        <v>216</v>
      </c>
      <c r="C6" s="308"/>
      <c r="D6" s="308"/>
      <c r="E6" s="308"/>
      <c r="F6" s="308"/>
      <c r="G6" s="308"/>
      <c r="H6" s="308"/>
      <c r="I6" s="422"/>
      <c r="J6" s="422"/>
      <c r="K6" s="422"/>
    </row>
    <row r="7" spans="1:11" ht="6" customHeight="1">
      <c r="A7" s="423"/>
      <c r="B7" s="424"/>
      <c r="C7" s="426"/>
      <c r="D7" s="308"/>
      <c r="E7" s="308"/>
      <c r="F7" s="308"/>
      <c r="G7" s="308"/>
      <c r="H7" s="308"/>
      <c r="I7" s="422"/>
      <c r="J7" s="422"/>
      <c r="K7" s="422"/>
    </row>
    <row r="8" spans="1:11" ht="15">
      <c r="A8" s="110" t="s">
        <v>326</v>
      </c>
      <c r="B8" s="10" t="s">
        <v>152</v>
      </c>
      <c r="H8" s="20"/>
      <c r="I8" s="23">
        <v>2006</v>
      </c>
      <c r="K8" s="17">
        <v>2005</v>
      </c>
    </row>
    <row r="9" spans="1:11" ht="15">
      <c r="A9" s="110"/>
      <c r="B9" s="10" t="s">
        <v>267</v>
      </c>
      <c r="H9" s="20"/>
      <c r="J9" s="23" t="s">
        <v>320</v>
      </c>
      <c r="K9" s="23"/>
    </row>
    <row r="10" spans="2:11" ht="15">
      <c r="B10" s="9" t="s">
        <v>380</v>
      </c>
      <c r="I10" s="92"/>
      <c r="J10" s="14"/>
      <c r="K10" s="14"/>
    </row>
    <row r="11" spans="2:11" ht="15">
      <c r="B11" s="28" t="s">
        <v>194</v>
      </c>
      <c r="I11" s="209">
        <v>876162</v>
      </c>
      <c r="J11" s="48"/>
      <c r="K11" s="231">
        <v>773079</v>
      </c>
    </row>
    <row r="12" spans="2:11" ht="15">
      <c r="B12" s="28" t="s">
        <v>32</v>
      </c>
      <c r="H12" s="20">
        <v>33</v>
      </c>
      <c r="I12" s="232">
        <v>364223</v>
      </c>
      <c r="J12" s="48"/>
      <c r="K12" s="233">
        <v>103083</v>
      </c>
    </row>
    <row r="13" spans="9:11" ht="15">
      <c r="I13" s="206">
        <f>SUM(I11:I12)</f>
        <v>1240385</v>
      </c>
      <c r="J13" s="42"/>
      <c r="K13" s="214">
        <f>SUM(K11:K12)</f>
        <v>876162</v>
      </c>
    </row>
    <row r="14" spans="9:11" ht="10.5" customHeight="1">
      <c r="I14" s="206"/>
      <c r="J14" s="42"/>
      <c r="K14" s="214"/>
    </row>
    <row r="15" spans="2:11" ht="15">
      <c r="B15" s="9" t="s">
        <v>381</v>
      </c>
      <c r="I15" s="206">
        <v>360948</v>
      </c>
      <c r="J15" s="42"/>
      <c r="K15" s="214">
        <v>357794</v>
      </c>
    </row>
    <row r="16" spans="2:11" ht="15">
      <c r="B16" s="9" t="s">
        <v>382</v>
      </c>
      <c r="I16" s="206">
        <v>13196</v>
      </c>
      <c r="J16" s="42"/>
      <c r="K16" s="214">
        <v>13910</v>
      </c>
    </row>
    <row r="17" spans="2:11" ht="15">
      <c r="B17" s="9" t="s">
        <v>936</v>
      </c>
      <c r="I17" s="209">
        <v>3888</v>
      </c>
      <c r="J17" s="42"/>
      <c r="K17" s="231">
        <v>4086</v>
      </c>
    </row>
    <row r="18" spans="9:11" ht="15.75" thickBot="1">
      <c r="I18" s="213">
        <f>SUM(I13:I17)</f>
        <v>1618417</v>
      </c>
      <c r="J18" s="42"/>
      <c r="K18" s="236">
        <f>SUM(K13:K17)</f>
        <v>1251952</v>
      </c>
    </row>
    <row r="19" spans="9:11" ht="10.5" customHeight="1" thickTop="1">
      <c r="I19" s="33"/>
      <c r="J19" s="17"/>
      <c r="K19" s="33"/>
    </row>
    <row r="20" spans="2:11" ht="15">
      <c r="B20" s="104" t="s">
        <v>5</v>
      </c>
      <c r="C20" s="104"/>
      <c r="D20" s="104"/>
      <c r="E20" s="104"/>
      <c r="F20" s="104"/>
      <c r="G20" s="104"/>
      <c r="H20" s="104"/>
      <c r="I20" s="104"/>
      <c r="J20" s="104"/>
      <c r="K20" s="104"/>
    </row>
    <row r="21" spans="2:11" ht="15">
      <c r="B21" s="104" t="s">
        <v>6</v>
      </c>
      <c r="C21" s="104"/>
      <c r="D21" s="104"/>
      <c r="E21" s="104"/>
      <c r="F21" s="104"/>
      <c r="G21" s="104"/>
      <c r="H21" s="104"/>
      <c r="I21" s="104"/>
      <c r="J21" s="104"/>
      <c r="K21" s="104"/>
    </row>
    <row r="22" spans="2:11" ht="15">
      <c r="B22" s="104" t="s">
        <v>7</v>
      </c>
      <c r="C22" s="104"/>
      <c r="D22" s="104"/>
      <c r="E22" s="104"/>
      <c r="F22" s="104"/>
      <c r="G22" s="104"/>
      <c r="H22" s="104"/>
      <c r="I22" s="104"/>
      <c r="J22" s="104"/>
      <c r="K22" s="104"/>
    </row>
    <row r="23" spans="2:11" ht="15">
      <c r="B23" s="104" t="s">
        <v>8</v>
      </c>
      <c r="C23" s="104"/>
      <c r="D23" s="104"/>
      <c r="E23" s="104"/>
      <c r="F23" s="104"/>
      <c r="G23" s="104"/>
      <c r="H23" s="104"/>
      <c r="I23" s="104"/>
      <c r="J23" s="104"/>
      <c r="K23" s="104"/>
    </row>
    <row r="24" spans="2:11" ht="10.5" customHeight="1">
      <c r="B24" s="184"/>
      <c r="C24" s="184"/>
      <c r="D24" s="184"/>
      <c r="E24" s="184"/>
      <c r="F24" s="184"/>
      <c r="G24" s="184"/>
      <c r="H24" s="184"/>
      <c r="I24" s="184"/>
      <c r="J24" s="184"/>
      <c r="K24" s="184"/>
    </row>
    <row r="25" spans="1:2" ht="15">
      <c r="A25" s="105" t="s">
        <v>234</v>
      </c>
      <c r="B25" s="10" t="s">
        <v>765</v>
      </c>
    </row>
    <row r="26" spans="5:9" ht="10.5" customHeight="1">
      <c r="E26" s="10"/>
      <c r="I26" s="37"/>
    </row>
    <row r="27" spans="2:11" ht="15">
      <c r="B27" s="9" t="s">
        <v>360</v>
      </c>
      <c r="H27" s="20">
        <v>10</v>
      </c>
      <c r="I27" s="206">
        <v>139340</v>
      </c>
      <c r="J27" s="42"/>
      <c r="K27" s="95">
        <v>145618</v>
      </c>
    </row>
    <row r="28" spans="2:11" ht="15">
      <c r="B28" s="9" t="s">
        <v>383</v>
      </c>
      <c r="I28" s="206">
        <v>784235946</v>
      </c>
      <c r="J28" s="42"/>
      <c r="K28" s="95">
        <v>705720090</v>
      </c>
    </row>
    <row r="29" spans="9:11" ht="15.75" thickBot="1">
      <c r="I29" s="213">
        <f>SUM(I27:I28)</f>
        <v>784375286</v>
      </c>
      <c r="J29" s="42"/>
      <c r="K29" s="434">
        <f>SUM(K27:K28)</f>
        <v>705865708</v>
      </c>
    </row>
    <row r="30" spans="1:11" ht="15.75" thickTop="1">
      <c r="A30" s="106" t="s">
        <v>375</v>
      </c>
      <c r="B30" s="10" t="s">
        <v>217</v>
      </c>
      <c r="I30" s="93"/>
      <c r="J30" s="42"/>
      <c r="K30" s="48"/>
    </row>
    <row r="31" spans="1:11" ht="15">
      <c r="A31" s="30"/>
      <c r="B31" s="10" t="s">
        <v>219</v>
      </c>
      <c r="I31" s="93"/>
      <c r="J31" s="42"/>
      <c r="K31" s="48"/>
    </row>
    <row r="32" spans="1:11" ht="15">
      <c r="A32" s="30"/>
      <c r="B32" s="10" t="s">
        <v>220</v>
      </c>
      <c r="I32" s="93"/>
      <c r="J32" s="42"/>
      <c r="K32" s="48"/>
    </row>
    <row r="33" spans="1:11" ht="10.5" customHeight="1">
      <c r="A33" s="30"/>
      <c r="I33" s="93"/>
      <c r="J33" s="42"/>
      <c r="K33" s="48"/>
    </row>
    <row r="34" spans="1:11" ht="15">
      <c r="A34" s="30"/>
      <c r="B34" s="9" t="s">
        <v>622</v>
      </c>
      <c r="I34" s="209">
        <v>92156422.4</v>
      </c>
      <c r="J34" s="48"/>
      <c r="K34" s="429">
        <v>90311785</v>
      </c>
    </row>
    <row r="35" spans="1:11" ht="15">
      <c r="A35" s="30"/>
      <c r="B35" s="9" t="s">
        <v>323</v>
      </c>
      <c r="I35" s="209">
        <v>-92145896.60554</v>
      </c>
      <c r="J35" s="48"/>
      <c r="K35" s="98">
        <v>-90301470</v>
      </c>
    </row>
    <row r="36" spans="8:11" ht="15.75" thickBot="1">
      <c r="H36" s="20"/>
      <c r="I36" s="213">
        <f>+I34+I35-1</f>
        <v>10524.794459998608</v>
      </c>
      <c r="J36" s="58"/>
      <c r="K36" s="434">
        <f>+K34+K35</f>
        <v>10315</v>
      </c>
    </row>
    <row r="37" spans="1:11" ht="15.75" thickTop="1">
      <c r="A37" s="106" t="s">
        <v>346</v>
      </c>
      <c r="B37" s="10" t="s">
        <v>766</v>
      </c>
      <c r="I37" s="435"/>
      <c r="J37" s="42"/>
      <c r="K37" s="48"/>
    </row>
    <row r="38" spans="1:11" ht="10.5" customHeight="1">
      <c r="A38" s="106"/>
      <c r="B38" s="10"/>
      <c r="I38" s="435"/>
      <c r="J38" s="42"/>
      <c r="K38" s="48"/>
    </row>
    <row r="39" spans="1:11" ht="15">
      <c r="A39" s="30"/>
      <c r="B39" s="9" t="s">
        <v>92</v>
      </c>
      <c r="H39" s="20">
        <v>17.1</v>
      </c>
      <c r="I39" s="209">
        <v>18000000</v>
      </c>
      <c r="J39" s="48"/>
      <c r="K39" s="429">
        <v>20700000</v>
      </c>
    </row>
    <row r="40" spans="1:11" ht="10.5" customHeight="1">
      <c r="A40" s="30"/>
      <c r="H40" s="20"/>
      <c r="I40" s="209"/>
      <c r="J40" s="48"/>
      <c r="K40" s="429"/>
    </row>
    <row r="41" spans="1:11" ht="15">
      <c r="A41" s="30"/>
      <c r="B41" s="30" t="s">
        <v>325</v>
      </c>
      <c r="D41" s="18"/>
      <c r="E41" s="18"/>
      <c r="F41" s="18"/>
      <c r="G41" s="18"/>
      <c r="H41" s="135" t="s">
        <v>919</v>
      </c>
      <c r="I41" s="210">
        <f>'NOTE 17.1 - 17.4'!L23</f>
        <v>119697057</v>
      </c>
      <c r="J41" s="15"/>
      <c r="K41" s="430">
        <v>113234829</v>
      </c>
    </row>
    <row r="42" spans="1:11" ht="15">
      <c r="A42" s="30"/>
      <c r="B42" s="9" t="s">
        <v>324</v>
      </c>
      <c r="C42" s="10"/>
      <c r="H42" s="51" t="s">
        <v>554</v>
      </c>
      <c r="I42" s="212">
        <f>'NOTE 17.1 - 17.4'!L43</f>
        <v>96886598</v>
      </c>
      <c r="J42" s="14"/>
      <c r="K42" s="431">
        <v>92829411</v>
      </c>
    </row>
    <row r="43" spans="1:11" ht="12.75" customHeight="1">
      <c r="A43" s="30"/>
      <c r="H43" s="20"/>
      <c r="I43" s="209">
        <f>SUM(I41:I42)</f>
        <v>216583655</v>
      </c>
      <c r="J43" s="14"/>
      <c r="K43" s="429">
        <f>SUM(K41:K42)</f>
        <v>206064240</v>
      </c>
    </row>
    <row r="44" spans="1:11" ht="15">
      <c r="A44" s="30"/>
      <c r="B44" s="9" t="s">
        <v>845</v>
      </c>
      <c r="H44" s="20"/>
      <c r="I44" s="232">
        <v>7534800.75101</v>
      </c>
      <c r="J44" s="14"/>
      <c r="K44" s="432">
        <v>6309198</v>
      </c>
    </row>
    <row r="45" spans="1:11" ht="15">
      <c r="A45" s="30"/>
      <c r="H45" s="20"/>
      <c r="I45" s="209">
        <f>+I44+I43+I39</f>
        <v>242118455.75101</v>
      </c>
      <c r="J45" s="14"/>
      <c r="K45" s="429">
        <f>+K44+K43+K39</f>
        <v>233073438</v>
      </c>
    </row>
    <row r="46" spans="1:11" ht="15">
      <c r="A46" s="30"/>
      <c r="B46" s="9" t="s">
        <v>881</v>
      </c>
      <c r="H46" s="51"/>
      <c r="I46" s="232">
        <v>-8673906.2102</v>
      </c>
      <c r="J46" s="14"/>
      <c r="K46" s="233">
        <v>-8740813</v>
      </c>
    </row>
    <row r="47" spans="1:11" ht="15">
      <c r="A47" s="30"/>
      <c r="C47" s="63"/>
      <c r="D47" s="63"/>
      <c r="E47" s="63"/>
      <c r="F47" s="63"/>
      <c r="G47" s="63"/>
      <c r="H47" s="20"/>
      <c r="I47" s="206">
        <f>+I45+I46</f>
        <v>233444549.54081</v>
      </c>
      <c r="J47" s="14"/>
      <c r="K47" s="428">
        <f>+K45+K46</f>
        <v>224332625</v>
      </c>
    </row>
    <row r="48" spans="1:11" ht="15">
      <c r="A48" s="30"/>
      <c r="B48" s="9" t="s">
        <v>287</v>
      </c>
      <c r="H48" s="51">
        <v>13</v>
      </c>
      <c r="I48" s="436">
        <v>-78500</v>
      </c>
      <c r="J48" s="5"/>
      <c r="K48" s="433">
        <v>-78500</v>
      </c>
    </row>
    <row r="49" spans="9:11" ht="15.75" thickBot="1">
      <c r="I49" s="213">
        <f>+I47+I48</f>
        <v>233366049.54081</v>
      </c>
      <c r="J49" s="14"/>
      <c r="K49" s="427">
        <f>+K47+K48</f>
        <v>224254125</v>
      </c>
    </row>
    <row r="50" ht="15.75" thickTop="1"/>
  </sheetData>
  <printOptions/>
  <pageMargins left="0.75" right="0.5" top="1" bottom="0.75" header="0.5" footer="0.5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54"/>
  <sheetViews>
    <sheetView view="pageBreakPreview" zoomScaleSheetLayoutView="100" workbookViewId="0" topLeftCell="A27">
      <selection activeCell="D15" sqref="D15"/>
    </sheetView>
  </sheetViews>
  <sheetFormatPr defaultColWidth="9.140625" defaultRowHeight="12.75"/>
  <cols>
    <col min="1" max="1" width="6.7109375" style="30" customWidth="1"/>
    <col min="2" max="2" width="14.7109375" style="9" customWidth="1"/>
    <col min="3" max="3" width="5.7109375" style="9" customWidth="1"/>
    <col min="4" max="4" width="10.7109375" style="9" customWidth="1"/>
    <col min="5" max="5" width="1.8515625" style="9" customWidth="1"/>
    <col min="6" max="6" width="10.7109375" style="9" customWidth="1"/>
    <col min="7" max="7" width="1.7109375" style="9" customWidth="1"/>
    <col min="8" max="8" width="9.8515625" style="9" customWidth="1"/>
    <col min="9" max="9" width="1.421875" style="9" customWidth="1"/>
    <col min="10" max="10" width="9.8515625" style="9" customWidth="1"/>
    <col min="11" max="11" width="1.57421875" style="9" customWidth="1"/>
    <col min="12" max="12" width="12.7109375" style="9" customWidth="1"/>
    <col min="13" max="13" width="1.8515625" style="9" customWidth="1"/>
    <col min="14" max="14" width="12.7109375" style="9" customWidth="1"/>
    <col min="15" max="15" width="1.57421875" style="9" customWidth="1"/>
    <col min="16" max="16" width="12.57421875" style="9" bestFit="1" customWidth="1"/>
    <col min="17" max="16384" width="7.57421875" style="9" customWidth="1"/>
  </cols>
  <sheetData>
    <row r="1" spans="1:15" ht="15" hidden="1">
      <c r="A1" s="105"/>
      <c r="B1" s="10"/>
      <c r="L1" s="23"/>
      <c r="M1" s="23"/>
      <c r="N1" s="23"/>
      <c r="O1" s="18"/>
    </row>
    <row r="2" spans="1:15" ht="25.5" customHeight="1" hidden="1">
      <c r="A2" s="105"/>
      <c r="B2" s="10"/>
      <c r="D2" s="583"/>
      <c r="E2" s="583"/>
      <c r="F2" s="583"/>
      <c r="H2" s="583"/>
      <c r="I2" s="583"/>
      <c r="J2" s="583"/>
      <c r="L2" s="583"/>
      <c r="M2" s="583"/>
      <c r="N2" s="583"/>
      <c r="O2" s="18"/>
    </row>
    <row r="3" spans="1:15" ht="15">
      <c r="A3" s="105" t="s">
        <v>807</v>
      </c>
      <c r="B3" s="10" t="s">
        <v>862</v>
      </c>
      <c r="D3" s="23"/>
      <c r="E3" s="23"/>
      <c r="F3" s="23"/>
      <c r="H3" s="23"/>
      <c r="I3" s="23"/>
      <c r="J3" s="23"/>
      <c r="L3" s="23">
        <v>2006</v>
      </c>
      <c r="N3" s="17">
        <v>2005</v>
      </c>
      <c r="O3" s="18"/>
    </row>
    <row r="4" spans="1:15" ht="15">
      <c r="A4" s="9"/>
      <c r="D4" s="21"/>
      <c r="E4" s="23"/>
      <c r="F4" s="23"/>
      <c r="G4" s="23"/>
      <c r="H4" s="21"/>
      <c r="I4" s="21"/>
      <c r="J4" s="21"/>
      <c r="K4" s="21"/>
      <c r="L4" s="584" t="s">
        <v>320</v>
      </c>
      <c r="M4" s="584"/>
      <c r="N4" s="584"/>
      <c r="O4" s="18"/>
    </row>
    <row r="5" spans="1:15" ht="15">
      <c r="A5" s="9"/>
      <c r="B5" s="9" t="s">
        <v>514</v>
      </c>
      <c r="D5" s="42"/>
      <c r="E5" s="42"/>
      <c r="F5" s="42"/>
      <c r="G5" s="42"/>
      <c r="H5" s="42"/>
      <c r="I5" s="42"/>
      <c r="J5" s="42"/>
      <c r="K5" s="14"/>
      <c r="L5" s="209">
        <v>10500000</v>
      </c>
      <c r="M5" s="429"/>
      <c r="N5" s="429">
        <v>12000000</v>
      </c>
      <c r="O5" s="18"/>
    </row>
    <row r="6" spans="1:15" ht="15">
      <c r="A6" s="9"/>
      <c r="B6" s="9" t="s">
        <v>195</v>
      </c>
      <c r="D6" s="42"/>
      <c r="E6" s="42"/>
      <c r="F6" s="42"/>
      <c r="G6" s="14"/>
      <c r="H6" s="42"/>
      <c r="I6" s="42"/>
      <c r="J6" s="42"/>
      <c r="K6" s="14"/>
      <c r="L6" s="209">
        <v>7500000</v>
      </c>
      <c r="M6" s="429"/>
      <c r="N6" s="429">
        <v>8700000</v>
      </c>
      <c r="O6" s="18"/>
    </row>
    <row r="7" spans="1:15" ht="15.75" thickBot="1">
      <c r="A7" s="9"/>
      <c r="D7" s="42"/>
      <c r="E7" s="42"/>
      <c r="F7" s="42"/>
      <c r="G7" s="14"/>
      <c r="H7" s="42"/>
      <c r="I7" s="42"/>
      <c r="J7" s="42"/>
      <c r="K7" s="14"/>
      <c r="L7" s="213">
        <f>+L6+L5</f>
        <v>18000000</v>
      </c>
      <c r="M7" s="95"/>
      <c r="N7" s="434">
        <f>+N6+N5</f>
        <v>20700000</v>
      </c>
      <c r="O7" s="18"/>
    </row>
    <row r="8" spans="1:15" ht="9" customHeight="1" thickTop="1">
      <c r="A8" s="9"/>
      <c r="K8" s="17"/>
      <c r="L8" s="23"/>
      <c r="M8" s="23"/>
      <c r="N8" s="23"/>
      <c r="O8" s="18"/>
    </row>
    <row r="9" spans="1:15" ht="15">
      <c r="A9" s="136" t="s">
        <v>586</v>
      </c>
      <c r="B9" s="104" t="s">
        <v>798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8"/>
    </row>
    <row r="10" spans="1:15" ht="15">
      <c r="A10" s="136"/>
      <c r="B10" s="104" t="s">
        <v>799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8"/>
    </row>
    <row r="11" spans="1:15" ht="8.25" customHeight="1">
      <c r="A11" s="18"/>
      <c r="B11" s="30"/>
      <c r="L11" s="23"/>
      <c r="M11" s="23"/>
      <c r="N11" s="23"/>
      <c r="O11" s="18"/>
    </row>
    <row r="12" spans="1:13" ht="15">
      <c r="A12" s="106" t="s">
        <v>919</v>
      </c>
      <c r="B12" s="10" t="s">
        <v>867</v>
      </c>
      <c r="K12" s="23"/>
      <c r="M12" s="17"/>
    </row>
    <row r="13" spans="1:16" ht="8.25" customHeight="1">
      <c r="A13" s="106"/>
      <c r="B13" s="10"/>
      <c r="K13" s="23"/>
      <c r="N13" s="195"/>
      <c r="O13" s="21"/>
      <c r="P13" s="21"/>
    </row>
    <row r="14" spans="1:14" ht="30" customHeight="1">
      <c r="A14" s="106"/>
      <c r="B14" s="444"/>
      <c r="C14" s="445"/>
      <c r="D14" s="586" t="s">
        <v>72</v>
      </c>
      <c r="E14" s="586"/>
      <c r="F14" s="586"/>
      <c r="G14" s="446"/>
      <c r="H14" s="586" t="s">
        <v>868</v>
      </c>
      <c r="I14" s="586"/>
      <c r="J14" s="586"/>
      <c r="K14" s="446"/>
      <c r="L14" s="586" t="s">
        <v>379</v>
      </c>
      <c r="M14" s="586"/>
      <c r="N14" s="586"/>
    </row>
    <row r="15" spans="1:14" ht="15">
      <c r="A15" s="106"/>
      <c r="B15" s="447"/>
      <c r="C15" s="448"/>
      <c r="D15" s="449">
        <v>2006</v>
      </c>
      <c r="E15" s="445"/>
      <c r="F15" s="450">
        <v>2005</v>
      </c>
      <c r="G15" s="445"/>
      <c r="H15" s="449">
        <v>2006</v>
      </c>
      <c r="I15" s="445"/>
      <c r="J15" s="450">
        <v>2005</v>
      </c>
      <c r="K15" s="445"/>
      <c r="L15" s="449">
        <v>2006</v>
      </c>
      <c r="M15" s="445"/>
      <c r="N15" s="450">
        <v>2005</v>
      </c>
    </row>
    <row r="16" spans="1:14" ht="15">
      <c r="A16" s="106"/>
      <c r="B16" s="447"/>
      <c r="C16" s="448"/>
      <c r="D16" s="587" t="s">
        <v>33</v>
      </c>
      <c r="E16" s="588"/>
      <c r="F16" s="588"/>
      <c r="G16" s="588"/>
      <c r="H16" s="588"/>
      <c r="I16" s="588"/>
      <c r="J16" s="588"/>
      <c r="K16" s="588"/>
      <c r="L16" s="588"/>
      <c r="M16" s="588"/>
      <c r="N16" s="588"/>
    </row>
    <row r="17" spans="2:14" ht="15" customHeight="1">
      <c r="B17" s="445"/>
      <c r="C17" s="445"/>
      <c r="D17" s="445"/>
      <c r="E17" s="445"/>
      <c r="F17" s="445"/>
      <c r="G17" s="445"/>
      <c r="H17" s="445"/>
      <c r="I17" s="445"/>
      <c r="J17" s="445"/>
      <c r="K17" s="449"/>
      <c r="L17" s="445"/>
      <c r="M17" s="450"/>
      <c r="N17" s="445"/>
    </row>
    <row r="18" spans="2:14" ht="15">
      <c r="B18" s="451" t="s">
        <v>345</v>
      </c>
      <c r="C18" s="448" t="s">
        <v>587</v>
      </c>
      <c r="D18" s="504">
        <v>63032232</v>
      </c>
      <c r="E18" s="505"/>
      <c r="F18" s="506">
        <v>60590768</v>
      </c>
      <c r="G18" s="505"/>
      <c r="H18" s="504">
        <v>0</v>
      </c>
      <c r="I18" s="505"/>
      <c r="J18" s="506">
        <v>0</v>
      </c>
      <c r="K18" s="505"/>
      <c r="L18" s="507">
        <f>D18+H18</f>
        <v>63032232</v>
      </c>
      <c r="M18" s="505"/>
      <c r="N18" s="506">
        <f>F18+J18</f>
        <v>60590768</v>
      </c>
    </row>
    <row r="19" spans="2:14" ht="15">
      <c r="B19" s="451" t="s">
        <v>842</v>
      </c>
      <c r="C19" s="448" t="s">
        <v>587</v>
      </c>
      <c r="D19" s="504">
        <v>4009425</v>
      </c>
      <c r="E19" s="505"/>
      <c r="F19" s="506">
        <v>2158045</v>
      </c>
      <c r="G19" s="505"/>
      <c r="H19" s="504">
        <v>750825</v>
      </c>
      <c r="I19" s="505"/>
      <c r="J19" s="506">
        <v>595007</v>
      </c>
      <c r="K19" s="505"/>
      <c r="L19" s="507">
        <f>D19+H19</f>
        <v>4760250</v>
      </c>
      <c r="M19" s="505"/>
      <c r="N19" s="506">
        <f>F19+J19</f>
        <v>2753052</v>
      </c>
    </row>
    <row r="20" spans="2:16" ht="15">
      <c r="B20" s="451" t="s">
        <v>837</v>
      </c>
      <c r="C20" s="451"/>
      <c r="D20" s="504">
        <f>17498742+3183150</f>
        <v>20681892</v>
      </c>
      <c r="E20" s="505"/>
      <c r="F20" s="506">
        <v>21780804</v>
      </c>
      <c r="G20" s="505"/>
      <c r="H20" s="504">
        <v>0</v>
      </c>
      <c r="I20" s="505"/>
      <c r="J20" s="506">
        <v>0</v>
      </c>
      <c r="K20" s="505"/>
      <c r="L20" s="507">
        <f>D20+H20</f>
        <v>20681892</v>
      </c>
      <c r="M20" s="505"/>
      <c r="N20" s="506">
        <f>F20+J20</f>
        <v>21780804</v>
      </c>
      <c r="P20" s="46"/>
    </row>
    <row r="21" spans="2:14" ht="15">
      <c r="B21" s="451" t="s">
        <v>838</v>
      </c>
      <c r="C21" s="451"/>
      <c r="D21" s="504">
        <v>0</v>
      </c>
      <c r="E21" s="505"/>
      <c r="F21" s="506">
        <v>66907</v>
      </c>
      <c r="G21" s="505"/>
      <c r="H21" s="504">
        <v>11245867</v>
      </c>
      <c r="I21" s="505"/>
      <c r="J21" s="506">
        <v>11242300</v>
      </c>
      <c r="K21" s="505"/>
      <c r="L21" s="507">
        <f>D21+H21</f>
        <v>11245867</v>
      </c>
      <c r="M21" s="505"/>
      <c r="N21" s="506">
        <f>F21+J21</f>
        <v>11309207</v>
      </c>
    </row>
    <row r="22" spans="2:14" ht="15">
      <c r="B22" s="451" t="s">
        <v>928</v>
      </c>
      <c r="C22" s="448"/>
      <c r="D22" s="504">
        <f>20984826+33400-3183150</f>
        <v>17835076</v>
      </c>
      <c r="E22" s="505"/>
      <c r="F22" s="506">
        <v>12985936</v>
      </c>
      <c r="G22" s="505"/>
      <c r="H22" s="504">
        <v>2141740</v>
      </c>
      <c r="I22" s="505"/>
      <c r="J22" s="506">
        <v>3815062</v>
      </c>
      <c r="K22" s="505"/>
      <c r="L22" s="507">
        <f>D22+H22</f>
        <v>19976816</v>
      </c>
      <c r="M22" s="505"/>
      <c r="N22" s="506">
        <f>F22+J22</f>
        <v>16800998</v>
      </c>
    </row>
    <row r="23" spans="2:14" ht="15.75" thickBot="1">
      <c r="B23" s="451"/>
      <c r="C23" s="451"/>
      <c r="D23" s="508">
        <f>SUM(D18:D22)</f>
        <v>105558625</v>
      </c>
      <c r="E23" s="505"/>
      <c r="F23" s="509">
        <f>SUM(F18:F22)</f>
        <v>97582460</v>
      </c>
      <c r="G23" s="505"/>
      <c r="H23" s="508">
        <f>SUM(H19:H22)</f>
        <v>14138432</v>
      </c>
      <c r="I23" s="505"/>
      <c r="J23" s="509">
        <f>SUM(J18:J22)</f>
        <v>15652369</v>
      </c>
      <c r="K23" s="505"/>
      <c r="L23" s="508">
        <f>SUM(L18:L22)</f>
        <v>119697057</v>
      </c>
      <c r="M23" s="505"/>
      <c r="N23" s="509">
        <f>SUM(N18:N22)</f>
        <v>113234829</v>
      </c>
    </row>
    <row r="24" spans="2:14" ht="15" customHeight="1" thickTop="1">
      <c r="B24" s="18"/>
      <c r="C24" s="18"/>
      <c r="D24" s="48"/>
      <c r="E24" s="15"/>
      <c r="F24" s="48"/>
      <c r="G24" s="15"/>
      <c r="H24" s="48"/>
      <c r="I24" s="15"/>
      <c r="J24" s="48"/>
      <c r="K24" s="15"/>
      <c r="L24" s="48"/>
      <c r="M24" s="48"/>
      <c r="N24" s="48"/>
    </row>
    <row r="25" spans="1:14" ht="15">
      <c r="A25" s="112" t="s">
        <v>588</v>
      </c>
      <c r="B25" s="143" t="s">
        <v>157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5">
      <c r="A26" s="112"/>
      <c r="B26" s="143" t="s">
        <v>405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5">
      <c r="A27" s="112"/>
      <c r="B27" s="143" t="s">
        <v>406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2:14" ht="7.5" customHeight="1">
      <c r="B28" s="18"/>
      <c r="C28" s="18"/>
      <c r="D28" s="18"/>
      <c r="E28" s="18"/>
      <c r="F28" s="18"/>
      <c r="G28" s="18"/>
      <c r="H28" s="18"/>
      <c r="I28" s="18"/>
      <c r="J28" s="18"/>
      <c r="K28" s="25"/>
      <c r="L28" s="33"/>
      <c r="M28" s="18"/>
      <c r="N28" s="33"/>
    </row>
    <row r="29" spans="1:14" ht="15">
      <c r="A29" s="112" t="s">
        <v>587</v>
      </c>
      <c r="B29" s="143" t="s">
        <v>407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2:14" ht="15">
      <c r="B30" s="306" t="s">
        <v>408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2:14" ht="15">
      <c r="B31" s="174" t="s">
        <v>409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</row>
    <row r="32" spans="2:14" ht="15">
      <c r="B32" s="174" t="s">
        <v>410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1:14" ht="9" customHeight="1">
      <c r="A33" s="112"/>
      <c r="B33" s="104"/>
      <c r="C33" s="104"/>
      <c r="D33" s="104"/>
      <c r="E33" s="104"/>
      <c r="F33" s="104"/>
      <c r="G33" s="104"/>
      <c r="H33" s="104"/>
      <c r="I33" s="104"/>
      <c r="J33" s="247"/>
      <c r="K33" s="247"/>
      <c r="L33" s="247"/>
      <c r="M33" s="247"/>
      <c r="N33" s="247"/>
    </row>
    <row r="34" spans="1:13" ht="15">
      <c r="A34" s="106" t="s">
        <v>554</v>
      </c>
      <c r="B34" s="10" t="s">
        <v>869</v>
      </c>
      <c r="K34" s="23"/>
      <c r="M34" s="17"/>
    </row>
    <row r="35" spans="1:14" ht="15">
      <c r="A35" s="106"/>
      <c r="B35" s="10"/>
      <c r="K35" s="23"/>
      <c r="N35" s="195"/>
    </row>
    <row r="36" spans="1:14" ht="30" customHeight="1">
      <c r="A36" s="106"/>
      <c r="B36" s="444"/>
      <c r="C36" s="445"/>
      <c r="D36" s="586" t="s">
        <v>72</v>
      </c>
      <c r="E36" s="586"/>
      <c r="F36" s="586"/>
      <c r="G36" s="446"/>
      <c r="H36" s="586" t="s">
        <v>868</v>
      </c>
      <c r="I36" s="586"/>
      <c r="J36" s="586"/>
      <c r="K36" s="446"/>
      <c r="L36" s="586" t="s">
        <v>379</v>
      </c>
      <c r="M36" s="586"/>
      <c r="N36" s="586"/>
    </row>
    <row r="37" spans="1:14" ht="15">
      <c r="A37" s="106"/>
      <c r="B37" s="447"/>
      <c r="C37" s="445"/>
      <c r="D37" s="449">
        <v>2006</v>
      </c>
      <c r="E37" s="445"/>
      <c r="F37" s="450">
        <v>2005</v>
      </c>
      <c r="G37" s="445"/>
      <c r="H37" s="449">
        <v>2006</v>
      </c>
      <c r="I37" s="445"/>
      <c r="J37" s="450">
        <v>2005</v>
      </c>
      <c r="K37" s="445"/>
      <c r="L37" s="449">
        <v>2006</v>
      </c>
      <c r="M37" s="445"/>
      <c r="N37" s="450">
        <v>2005</v>
      </c>
    </row>
    <row r="38" spans="1:14" ht="15">
      <c r="A38" s="106"/>
      <c r="B38" s="447"/>
      <c r="C38" s="445"/>
      <c r="D38" s="587" t="s">
        <v>33</v>
      </c>
      <c r="E38" s="588"/>
      <c r="F38" s="588"/>
      <c r="G38" s="588"/>
      <c r="H38" s="588"/>
      <c r="I38" s="588"/>
      <c r="J38" s="588"/>
      <c r="K38" s="588"/>
      <c r="L38" s="588"/>
      <c r="M38" s="588"/>
      <c r="N38" s="588"/>
    </row>
    <row r="39" spans="2:14" ht="5.25" customHeight="1">
      <c r="B39" s="445"/>
      <c r="C39" s="445"/>
      <c r="D39" s="445"/>
      <c r="E39" s="445"/>
      <c r="F39" s="445"/>
      <c r="G39" s="445"/>
      <c r="H39" s="445"/>
      <c r="I39" s="445"/>
      <c r="J39" s="445"/>
      <c r="K39" s="449"/>
      <c r="L39" s="445"/>
      <c r="M39" s="450"/>
      <c r="N39" s="445"/>
    </row>
    <row r="40" spans="2:14" ht="15">
      <c r="B40" s="451" t="s">
        <v>842</v>
      </c>
      <c r="C40" s="451"/>
      <c r="D40" s="504">
        <v>4342170</v>
      </c>
      <c r="E40" s="505"/>
      <c r="F40" s="510">
        <v>0</v>
      </c>
      <c r="G40" s="505"/>
      <c r="H40" s="504">
        <v>3658659</v>
      </c>
      <c r="I40" s="505"/>
      <c r="J40" s="510">
        <v>3577792</v>
      </c>
      <c r="K40" s="505"/>
      <c r="L40" s="504">
        <f>H40+D40</f>
        <v>8000829</v>
      </c>
      <c r="M40" s="505"/>
      <c r="N40" s="510">
        <f>J40+F40</f>
        <v>3577792</v>
      </c>
    </row>
    <row r="41" spans="2:16" ht="15">
      <c r="B41" s="451" t="s">
        <v>837</v>
      </c>
      <c r="C41" s="451"/>
      <c r="D41" s="504">
        <v>87378787</v>
      </c>
      <c r="E41" s="505"/>
      <c r="F41" s="510">
        <v>87744637</v>
      </c>
      <c r="G41" s="505"/>
      <c r="H41" s="504">
        <v>0</v>
      </c>
      <c r="I41" s="505"/>
      <c r="J41" s="510">
        <v>0</v>
      </c>
      <c r="K41" s="505"/>
      <c r="L41" s="504">
        <f>H41+D41</f>
        <v>87378787</v>
      </c>
      <c r="M41" s="505"/>
      <c r="N41" s="510">
        <f>J41+F41</f>
        <v>87744637</v>
      </c>
      <c r="P41" s="46"/>
    </row>
    <row r="42" spans="2:14" ht="15">
      <c r="B42" s="451" t="s">
        <v>928</v>
      </c>
      <c r="C42" s="451"/>
      <c r="D42" s="504">
        <v>1506982</v>
      </c>
      <c r="E42" s="505"/>
      <c r="F42" s="510">
        <v>1506982</v>
      </c>
      <c r="G42" s="505"/>
      <c r="H42" s="504">
        <v>0</v>
      </c>
      <c r="I42" s="505"/>
      <c r="J42" s="510">
        <v>0</v>
      </c>
      <c r="K42" s="505"/>
      <c r="L42" s="504">
        <f>H42+D42</f>
        <v>1506982</v>
      </c>
      <c r="M42" s="505"/>
      <c r="N42" s="510">
        <f>J42+F42</f>
        <v>1506982</v>
      </c>
    </row>
    <row r="43" spans="2:14" ht="15.75" thickBot="1">
      <c r="B43" s="451"/>
      <c r="C43" s="451"/>
      <c r="D43" s="508">
        <f>SUM(D40:D42)</f>
        <v>93227939</v>
      </c>
      <c r="E43" s="505"/>
      <c r="F43" s="511">
        <f>SUM(F40:F42)</f>
        <v>89251619</v>
      </c>
      <c r="G43" s="505"/>
      <c r="H43" s="508">
        <f>SUM(H40:H42)</f>
        <v>3658659</v>
      </c>
      <c r="I43" s="505"/>
      <c r="J43" s="511">
        <f>SUM(J40:J42)</f>
        <v>3577792</v>
      </c>
      <c r="K43" s="505"/>
      <c r="L43" s="508">
        <f>SUM(L40:L42)</f>
        <v>96886598</v>
      </c>
      <c r="M43" s="505"/>
      <c r="N43" s="511">
        <f>SUM(N40:N42)</f>
        <v>92829411</v>
      </c>
    </row>
    <row r="44" spans="2:16" ht="15" customHeight="1" thickTop="1">
      <c r="B44" s="18"/>
      <c r="C44" s="18"/>
      <c r="D44" s="18"/>
      <c r="E44" s="18"/>
      <c r="F44" s="18"/>
      <c r="G44" s="18"/>
      <c r="H44" s="18"/>
      <c r="I44" s="18"/>
      <c r="J44" s="18"/>
      <c r="K44" s="25"/>
      <c r="L44" s="18"/>
      <c r="M44" s="18"/>
      <c r="N44" s="18"/>
      <c r="P44" s="14"/>
    </row>
    <row r="45" spans="1:2" ht="15">
      <c r="A45" s="105" t="s">
        <v>589</v>
      </c>
      <c r="B45" s="9" t="s">
        <v>9</v>
      </c>
    </row>
    <row r="46" ht="6" customHeight="1">
      <c r="A46" s="9"/>
    </row>
    <row r="47" spans="1:14" ht="15">
      <c r="A47" s="9"/>
      <c r="L47" s="23">
        <v>2006</v>
      </c>
      <c r="N47" s="17">
        <v>2005</v>
      </c>
    </row>
    <row r="48" spans="1:14" ht="15">
      <c r="A48" s="9"/>
      <c r="L48" s="585" t="s">
        <v>137</v>
      </c>
      <c r="M48" s="585"/>
      <c r="N48" s="585"/>
    </row>
    <row r="49" ht="15" customHeight="1">
      <c r="A49" s="9"/>
    </row>
    <row r="50" spans="1:14" ht="15">
      <c r="A50" s="9"/>
      <c r="B50" s="137" t="s">
        <v>875</v>
      </c>
      <c r="L50" s="22" t="s">
        <v>330</v>
      </c>
      <c r="M50" s="33"/>
      <c r="N50" s="33" t="s">
        <v>925</v>
      </c>
    </row>
    <row r="51" spans="1:14" ht="15">
      <c r="A51" s="9"/>
      <c r="B51" s="137" t="s">
        <v>432</v>
      </c>
      <c r="L51" s="22">
        <v>10</v>
      </c>
      <c r="M51" s="33"/>
      <c r="N51" s="134">
        <v>10</v>
      </c>
    </row>
    <row r="52" ht="15">
      <c r="A52" s="9"/>
    </row>
    <row r="53" ht="15">
      <c r="A53" s="9"/>
    </row>
    <row r="54" ht="15">
      <c r="A54" s="9"/>
    </row>
  </sheetData>
  <mergeCells count="13">
    <mergeCell ref="L48:N48"/>
    <mergeCell ref="L14:N14"/>
    <mergeCell ref="D36:F36"/>
    <mergeCell ref="H36:J36"/>
    <mergeCell ref="L36:N36"/>
    <mergeCell ref="H14:J14"/>
    <mergeCell ref="D14:F14"/>
    <mergeCell ref="D16:N16"/>
    <mergeCell ref="D38:N38"/>
    <mergeCell ref="D2:F2"/>
    <mergeCell ref="H2:J2"/>
    <mergeCell ref="L2:N2"/>
    <mergeCell ref="L4:N4"/>
  </mergeCells>
  <printOptions/>
  <pageMargins left="0.75" right="0.5" top="1" bottom="0.75" header="0.5" footer="0.5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O1436"/>
  <sheetViews>
    <sheetView view="pageBreakPreview" zoomScale="75" zoomScaleSheetLayoutView="75" workbookViewId="0" topLeftCell="A1">
      <selection activeCell="E22" sqref="E22"/>
    </sheetView>
  </sheetViews>
  <sheetFormatPr defaultColWidth="9.140625" defaultRowHeight="12.75"/>
  <cols>
    <col min="1" max="1" width="4.7109375" style="292" customWidth="1"/>
    <col min="2" max="2" width="17.7109375" style="292" customWidth="1"/>
    <col min="3" max="3" width="13.28125" style="292" bestFit="1" customWidth="1"/>
    <col min="4" max="4" width="0.85546875" style="292" customWidth="1"/>
    <col min="5" max="5" width="10.28125" style="296" customWidth="1"/>
    <col min="6" max="6" width="0.85546875" style="295" customWidth="1"/>
    <col min="7" max="7" width="9.8515625" style="295" customWidth="1"/>
    <col min="8" max="8" width="0.85546875" style="295" customWidth="1"/>
    <col min="9" max="9" width="14.421875" style="295" bestFit="1" customWidth="1"/>
    <col min="10" max="10" width="0.85546875" style="295" customWidth="1"/>
    <col min="11" max="11" width="14.421875" style="292" bestFit="1" customWidth="1"/>
    <col min="12" max="12" width="0.85546875" style="292" customWidth="1"/>
    <col min="13" max="13" width="11.140625" style="292" customWidth="1"/>
    <col min="14" max="14" width="0.85546875" style="292" customWidth="1"/>
    <col min="15" max="15" width="12.140625" style="292" bestFit="1" customWidth="1"/>
    <col min="16" max="16" width="0.5625" style="292" hidden="1" customWidth="1"/>
    <col min="17" max="17" width="0.5625" style="292" customWidth="1"/>
    <col min="18" max="18" width="14.140625" style="292" bestFit="1" customWidth="1"/>
    <col min="19" max="19" width="0.85546875" style="295" customWidth="1"/>
    <col min="20" max="20" width="11.8515625" style="292" customWidth="1"/>
    <col min="21" max="21" width="1.7109375" style="292" customWidth="1"/>
    <col min="22" max="22" width="13.00390625" style="292" customWidth="1"/>
    <col min="23" max="23" width="0.85546875" style="292" customWidth="1"/>
    <col min="24" max="24" width="13.00390625" style="292" customWidth="1"/>
    <col min="25" max="25" width="14.140625" style="1" bestFit="1" customWidth="1"/>
    <col min="26" max="26" width="8.7109375" style="1" bestFit="1" customWidth="1"/>
    <col min="27" max="67" width="7.57421875" style="1" customWidth="1"/>
    <col min="68" max="16384" width="7.57421875" style="292" customWidth="1"/>
  </cols>
  <sheetData>
    <row r="1" spans="1:24" ht="15">
      <c r="A1" s="110" t="s">
        <v>153</v>
      </c>
      <c r="B1" s="142" t="s">
        <v>809</v>
      </c>
      <c r="C1" s="104"/>
      <c r="D1" s="104"/>
      <c r="E1" s="180"/>
      <c r="F1" s="116"/>
      <c r="G1" s="116"/>
      <c r="H1" s="116"/>
      <c r="I1" s="116"/>
      <c r="J1" s="116"/>
      <c r="K1" s="104"/>
      <c r="L1" s="104"/>
      <c r="M1" s="104"/>
      <c r="N1" s="104"/>
      <c r="O1" s="104"/>
      <c r="P1" s="104"/>
      <c r="Q1" s="104"/>
      <c r="R1" s="104"/>
      <c r="S1" s="116"/>
      <c r="T1" s="104"/>
      <c r="U1" s="104"/>
      <c r="V1" s="23">
        <v>2006</v>
      </c>
      <c r="W1" s="9"/>
      <c r="X1" s="17">
        <v>2005</v>
      </c>
    </row>
    <row r="2" spans="1:24" ht="15">
      <c r="A2" s="105"/>
      <c r="B2" s="142" t="s">
        <v>810</v>
      </c>
      <c r="C2" s="104"/>
      <c r="D2" s="104"/>
      <c r="E2" s="180"/>
      <c r="F2" s="116"/>
      <c r="G2" s="116"/>
      <c r="H2" s="116"/>
      <c r="I2" s="116"/>
      <c r="J2" s="116"/>
      <c r="K2" s="104"/>
      <c r="L2" s="104"/>
      <c r="M2" s="104"/>
      <c r="N2" s="104"/>
      <c r="O2" s="104"/>
      <c r="P2" s="104"/>
      <c r="Q2" s="104"/>
      <c r="R2" s="104"/>
      <c r="S2" s="116"/>
      <c r="T2" s="104"/>
      <c r="U2" s="104"/>
      <c r="V2" s="9"/>
      <c r="W2" s="23" t="s">
        <v>320</v>
      </c>
      <c r="X2" s="9"/>
    </row>
    <row r="3" spans="3:24" ht="6" customHeight="1">
      <c r="C3" s="137"/>
      <c r="D3" s="137"/>
      <c r="E3" s="180"/>
      <c r="F3" s="116"/>
      <c r="G3" s="116"/>
      <c r="H3" s="116"/>
      <c r="I3" s="116"/>
      <c r="J3" s="116"/>
      <c r="K3" s="104"/>
      <c r="L3" s="104"/>
      <c r="M3" s="104"/>
      <c r="N3" s="104"/>
      <c r="O3" s="104"/>
      <c r="P3" s="104"/>
      <c r="Q3" s="104"/>
      <c r="R3" s="104"/>
      <c r="S3" s="116"/>
      <c r="T3" s="104"/>
      <c r="U3" s="104"/>
      <c r="V3" s="104"/>
      <c r="W3" s="104"/>
      <c r="X3" s="104"/>
    </row>
    <row r="4" spans="1:24" ht="15">
      <c r="A4" s="104"/>
      <c r="B4" s="10" t="s">
        <v>565</v>
      </c>
      <c r="C4" s="104"/>
      <c r="D4" s="104"/>
      <c r="E4" s="180"/>
      <c r="F4" s="116"/>
      <c r="G4" s="116"/>
      <c r="H4" s="116"/>
      <c r="I4" s="116"/>
      <c r="J4" s="116"/>
      <c r="K4" s="104"/>
      <c r="L4" s="104"/>
      <c r="M4" s="104"/>
      <c r="N4" s="104"/>
      <c r="O4" s="104"/>
      <c r="P4" s="104"/>
      <c r="Q4" s="104"/>
      <c r="R4" s="104"/>
      <c r="S4" s="116"/>
      <c r="T4" s="104"/>
      <c r="U4" s="104"/>
      <c r="V4" s="104"/>
      <c r="W4" s="104"/>
      <c r="X4" s="104"/>
    </row>
    <row r="5" spans="1:24" ht="15">
      <c r="A5" s="104"/>
      <c r="B5" s="10"/>
      <c r="C5" s="104"/>
      <c r="D5" s="104"/>
      <c r="E5" s="180"/>
      <c r="F5" s="116"/>
      <c r="G5" s="116"/>
      <c r="H5" s="116"/>
      <c r="I5" s="116"/>
      <c r="J5" s="116"/>
      <c r="K5" s="104"/>
      <c r="L5" s="104"/>
      <c r="M5" s="104"/>
      <c r="N5" s="104"/>
      <c r="O5" s="104"/>
      <c r="P5" s="104"/>
      <c r="Q5" s="104"/>
      <c r="R5" s="104"/>
      <c r="S5" s="116"/>
      <c r="T5" s="104"/>
      <c r="U5" s="104"/>
      <c r="V5" s="104"/>
      <c r="W5" s="104"/>
      <c r="X5" s="104"/>
    </row>
    <row r="6" spans="1:24" ht="15">
      <c r="A6" s="104"/>
      <c r="B6" s="9" t="s">
        <v>877</v>
      </c>
      <c r="C6" s="104"/>
      <c r="D6" s="104"/>
      <c r="E6" s="180"/>
      <c r="F6" s="116"/>
      <c r="G6" s="116"/>
      <c r="H6" s="116"/>
      <c r="I6" s="116"/>
      <c r="J6" s="116"/>
      <c r="K6" s="104"/>
      <c r="L6" s="104"/>
      <c r="M6" s="104"/>
      <c r="N6" s="104"/>
      <c r="O6" s="104"/>
      <c r="P6" s="104"/>
      <c r="Q6" s="104"/>
      <c r="R6" s="104"/>
      <c r="S6" s="116"/>
      <c r="T6" s="104"/>
      <c r="U6" s="104"/>
      <c r="V6" s="107">
        <v>39616.00478</v>
      </c>
      <c r="W6" s="74"/>
      <c r="X6" s="5">
        <v>39616</v>
      </c>
    </row>
    <row r="7" spans="1:24" ht="15">
      <c r="A7" s="104"/>
      <c r="B7" s="9" t="s">
        <v>878</v>
      </c>
      <c r="C7" s="104"/>
      <c r="D7" s="104"/>
      <c r="E7" s="180"/>
      <c r="F7" s="116"/>
      <c r="G7" s="116"/>
      <c r="H7" s="116"/>
      <c r="I7" s="116"/>
      <c r="J7" s="116"/>
      <c r="K7" s="104"/>
      <c r="L7" s="104"/>
      <c r="M7" s="104"/>
      <c r="N7" s="104"/>
      <c r="O7" s="104"/>
      <c r="P7" s="104"/>
      <c r="Q7" s="104"/>
      <c r="R7" s="104"/>
      <c r="S7" s="116"/>
      <c r="T7" s="104"/>
      <c r="U7" s="104"/>
      <c r="V7" s="205">
        <v>837.29044</v>
      </c>
      <c r="W7" s="74"/>
      <c r="X7" s="75">
        <v>837</v>
      </c>
    </row>
    <row r="8" spans="1:24" ht="15">
      <c r="A8" s="104"/>
      <c r="B8" s="9"/>
      <c r="C8" s="104"/>
      <c r="D8" s="104"/>
      <c r="E8" s="180"/>
      <c r="F8" s="116"/>
      <c r="G8" s="116"/>
      <c r="H8" s="116"/>
      <c r="I8" s="116"/>
      <c r="J8" s="116"/>
      <c r="K8" s="104"/>
      <c r="L8" s="104"/>
      <c r="M8" s="104"/>
      <c r="N8" s="104"/>
      <c r="O8" s="104"/>
      <c r="P8" s="104"/>
      <c r="Q8" s="104"/>
      <c r="R8" s="104"/>
      <c r="S8" s="116"/>
      <c r="T8" s="104"/>
      <c r="U8" s="104"/>
      <c r="V8" s="89">
        <f>SUM(V6:V7)</f>
        <v>40453.29522</v>
      </c>
      <c r="W8" s="74"/>
      <c r="X8" s="74">
        <f>SUM(X6:X7)</f>
        <v>40453</v>
      </c>
    </row>
    <row r="9" spans="1:24" ht="15">
      <c r="A9" s="104"/>
      <c r="B9" s="10" t="s">
        <v>835</v>
      </c>
      <c r="C9" s="104"/>
      <c r="D9" s="104"/>
      <c r="E9" s="180"/>
      <c r="F9" s="116"/>
      <c r="G9" s="116"/>
      <c r="H9" s="116"/>
      <c r="I9" s="116"/>
      <c r="J9" s="116"/>
      <c r="K9" s="104"/>
      <c r="L9" s="104"/>
      <c r="M9" s="104"/>
      <c r="N9" s="104"/>
      <c r="O9" s="104"/>
      <c r="P9" s="104"/>
      <c r="Q9" s="104"/>
      <c r="R9" s="104"/>
      <c r="S9" s="116"/>
      <c r="T9" s="104"/>
      <c r="U9" s="104"/>
      <c r="V9" s="94"/>
      <c r="W9" s="74"/>
      <c r="X9" s="74"/>
    </row>
    <row r="10" spans="1:24" ht="15">
      <c r="A10" s="104"/>
      <c r="B10" s="10"/>
      <c r="C10" s="104"/>
      <c r="D10" s="104"/>
      <c r="E10" s="180"/>
      <c r="F10" s="116"/>
      <c r="G10" s="116"/>
      <c r="H10" s="116"/>
      <c r="I10" s="116"/>
      <c r="J10" s="116"/>
      <c r="K10" s="104"/>
      <c r="L10" s="104"/>
      <c r="M10" s="104"/>
      <c r="N10" s="104"/>
      <c r="O10" s="104"/>
      <c r="P10" s="104"/>
      <c r="Q10" s="104"/>
      <c r="R10" s="104"/>
      <c r="S10" s="116"/>
      <c r="T10" s="104"/>
      <c r="U10" s="104"/>
      <c r="V10" s="94"/>
      <c r="W10" s="74"/>
      <c r="X10" s="74"/>
    </row>
    <row r="11" spans="1:24" ht="15">
      <c r="A11" s="104"/>
      <c r="B11" s="9" t="s">
        <v>879</v>
      </c>
      <c r="C11" s="104"/>
      <c r="D11" s="104"/>
      <c r="E11" s="180"/>
      <c r="F11" s="116"/>
      <c r="G11" s="116"/>
      <c r="H11" s="116"/>
      <c r="I11" s="116"/>
      <c r="J11" s="116"/>
      <c r="K11" s="104"/>
      <c r="L11" s="104"/>
      <c r="M11" s="104"/>
      <c r="N11" s="104"/>
      <c r="O11" s="104"/>
      <c r="P11" s="104"/>
      <c r="Q11" s="104"/>
      <c r="R11" s="104"/>
      <c r="S11" s="116"/>
      <c r="T11" s="104"/>
      <c r="U11" s="104"/>
      <c r="V11" s="204">
        <v>819924.00182</v>
      </c>
      <c r="W11" s="74"/>
      <c r="X11" s="72">
        <v>819924</v>
      </c>
    </row>
    <row r="12" spans="1:24" ht="15">
      <c r="A12" s="104"/>
      <c r="B12" s="9" t="s">
        <v>880</v>
      </c>
      <c r="C12" s="104"/>
      <c r="D12" s="104"/>
      <c r="E12" s="180"/>
      <c r="F12" s="116"/>
      <c r="G12" s="116"/>
      <c r="H12" s="116"/>
      <c r="I12" s="116"/>
      <c r="J12" s="116"/>
      <c r="K12" s="104"/>
      <c r="L12" s="104"/>
      <c r="M12" s="104"/>
      <c r="N12" s="104"/>
      <c r="O12" s="104"/>
      <c r="P12" s="104"/>
      <c r="Q12" s="104"/>
      <c r="R12" s="104"/>
      <c r="S12" s="116"/>
      <c r="T12" s="51" t="s">
        <v>590</v>
      </c>
      <c r="U12" s="104"/>
      <c r="V12" s="217">
        <v>3513671.02181</v>
      </c>
      <c r="W12" s="74"/>
      <c r="X12" s="87">
        <v>3221784</v>
      </c>
    </row>
    <row r="13" spans="1:24" ht="15">
      <c r="A13" s="104"/>
      <c r="B13" s="104"/>
      <c r="C13" s="104"/>
      <c r="D13" s="104"/>
      <c r="E13" s="180"/>
      <c r="F13" s="116"/>
      <c r="G13" s="116"/>
      <c r="H13" s="116"/>
      <c r="I13" s="116"/>
      <c r="J13" s="116"/>
      <c r="K13" s="104"/>
      <c r="L13" s="104"/>
      <c r="M13" s="104"/>
      <c r="N13" s="104"/>
      <c r="O13" s="104"/>
      <c r="P13" s="104"/>
      <c r="Q13" s="104"/>
      <c r="R13" s="104"/>
      <c r="S13" s="116"/>
      <c r="T13" s="104"/>
      <c r="U13" s="104"/>
      <c r="V13" s="90">
        <f>+V12+V11</f>
        <v>4333595.02363</v>
      </c>
      <c r="W13" s="74"/>
      <c r="X13" s="32">
        <f>+X12+X11</f>
        <v>4041708</v>
      </c>
    </row>
    <row r="14" spans="1:24" ht="15.75" thickBot="1">
      <c r="A14" s="104"/>
      <c r="B14" s="104"/>
      <c r="C14" s="104"/>
      <c r="D14" s="104"/>
      <c r="E14" s="180"/>
      <c r="F14" s="116"/>
      <c r="G14" s="116"/>
      <c r="H14" s="116"/>
      <c r="I14" s="116"/>
      <c r="J14" s="116"/>
      <c r="K14" s="104"/>
      <c r="L14" s="104"/>
      <c r="M14" s="104"/>
      <c r="N14" s="104"/>
      <c r="O14" s="104"/>
      <c r="P14" s="104"/>
      <c r="Q14" s="104"/>
      <c r="R14" s="104"/>
      <c r="S14" s="116"/>
      <c r="T14" s="104"/>
      <c r="U14" s="104"/>
      <c r="V14" s="91">
        <f>V8+V13</f>
        <v>4374048.318849999</v>
      </c>
      <c r="W14" s="74"/>
      <c r="X14" s="50">
        <f>X8+X13</f>
        <v>4082161</v>
      </c>
    </row>
    <row r="15" spans="1:24" ht="15.75" thickTop="1">
      <c r="A15" s="110" t="s">
        <v>590</v>
      </c>
      <c r="B15" s="104" t="s">
        <v>288</v>
      </c>
      <c r="C15" s="104"/>
      <c r="D15" s="104"/>
      <c r="E15" s="180"/>
      <c r="F15" s="116"/>
      <c r="G15" s="116"/>
      <c r="H15" s="116"/>
      <c r="I15" s="116"/>
      <c r="J15" s="116"/>
      <c r="K15" s="104"/>
      <c r="L15" s="104"/>
      <c r="M15" s="104"/>
      <c r="N15" s="104"/>
      <c r="O15" s="104"/>
      <c r="P15" s="104"/>
      <c r="Q15" s="104"/>
      <c r="R15" s="104"/>
      <c r="S15" s="116"/>
      <c r="T15" s="104"/>
      <c r="U15" s="104"/>
      <c r="V15" s="104"/>
      <c r="W15" s="104"/>
      <c r="X15" s="104"/>
    </row>
    <row r="16" spans="1:24" ht="15">
      <c r="A16" s="104"/>
      <c r="B16" s="104"/>
      <c r="C16" s="104"/>
      <c r="D16" s="104"/>
      <c r="E16" s="180"/>
      <c r="F16" s="116"/>
      <c r="G16" s="116"/>
      <c r="H16" s="116"/>
      <c r="I16" s="116"/>
      <c r="J16" s="116"/>
      <c r="K16" s="104"/>
      <c r="L16" s="104"/>
      <c r="M16" s="104"/>
      <c r="N16" s="104"/>
      <c r="O16" s="104"/>
      <c r="P16" s="104"/>
      <c r="Q16" s="104"/>
      <c r="R16" s="104"/>
      <c r="S16" s="116"/>
      <c r="T16" s="104"/>
      <c r="U16" s="104"/>
      <c r="V16" s="104"/>
      <c r="W16" s="104"/>
      <c r="X16" s="104"/>
    </row>
    <row r="17" spans="1:24" ht="15">
      <c r="A17" s="110" t="s">
        <v>591</v>
      </c>
      <c r="B17" s="104" t="s">
        <v>886</v>
      </c>
      <c r="C17" s="104"/>
      <c r="D17" s="104"/>
      <c r="E17" s="180"/>
      <c r="F17" s="116"/>
      <c r="G17" s="116"/>
      <c r="H17" s="116"/>
      <c r="I17" s="116"/>
      <c r="J17" s="116"/>
      <c r="K17" s="104"/>
      <c r="L17" s="104"/>
      <c r="M17" s="104"/>
      <c r="N17" s="104"/>
      <c r="O17" s="104"/>
      <c r="P17" s="104"/>
      <c r="Q17" s="104"/>
      <c r="R17" s="104"/>
      <c r="S17" s="116"/>
      <c r="T17" s="104"/>
      <c r="U17" s="104"/>
      <c r="V17" s="104"/>
      <c r="W17" s="104"/>
      <c r="X17" s="104"/>
    </row>
    <row r="18" spans="2:24" ht="15">
      <c r="B18" s="104" t="s">
        <v>811</v>
      </c>
      <c r="C18" s="104"/>
      <c r="D18" s="104"/>
      <c r="E18" s="180"/>
      <c r="F18" s="116"/>
      <c r="G18" s="116"/>
      <c r="H18" s="116"/>
      <c r="I18" s="116"/>
      <c r="J18" s="116"/>
      <c r="K18" s="104"/>
      <c r="L18" s="104"/>
      <c r="M18" s="104"/>
      <c r="N18" s="104"/>
      <c r="O18" s="104"/>
      <c r="P18" s="104"/>
      <c r="Q18" s="104"/>
      <c r="R18" s="104"/>
      <c r="S18" s="116"/>
      <c r="T18" s="104"/>
      <c r="U18" s="104"/>
      <c r="V18" s="104"/>
      <c r="W18" s="104"/>
      <c r="X18" s="104"/>
    </row>
    <row r="19" spans="1:24" ht="15">
      <c r="A19" s="104"/>
      <c r="B19" s="104"/>
      <c r="C19" s="104"/>
      <c r="D19" s="104"/>
      <c r="E19" s="180"/>
      <c r="F19" s="116"/>
      <c r="G19" s="116"/>
      <c r="H19" s="116"/>
      <c r="I19" s="116"/>
      <c r="J19" s="116"/>
      <c r="K19" s="104"/>
      <c r="L19" s="104"/>
      <c r="M19" s="104"/>
      <c r="N19" s="104"/>
      <c r="O19" s="104"/>
      <c r="P19" s="104"/>
      <c r="Q19" s="104"/>
      <c r="R19" s="104"/>
      <c r="S19" s="116"/>
      <c r="T19" s="104"/>
      <c r="U19" s="104"/>
      <c r="V19" s="104"/>
      <c r="W19" s="104"/>
      <c r="X19" s="104"/>
    </row>
    <row r="20" spans="1:24" ht="15">
      <c r="A20" s="110" t="s">
        <v>221</v>
      </c>
      <c r="B20" s="142" t="s">
        <v>916</v>
      </c>
      <c r="C20" s="104"/>
      <c r="D20" s="104"/>
      <c r="E20" s="180"/>
      <c r="F20" s="116"/>
      <c r="G20" s="116"/>
      <c r="H20" s="116"/>
      <c r="I20" s="116"/>
      <c r="J20" s="116"/>
      <c r="K20" s="104"/>
      <c r="L20" s="104"/>
      <c r="M20" s="104"/>
      <c r="N20" s="104"/>
      <c r="O20" s="104"/>
      <c r="P20" s="104"/>
      <c r="Q20" s="104"/>
      <c r="R20" s="104"/>
      <c r="S20" s="116"/>
      <c r="T20" s="104"/>
      <c r="U20" s="104"/>
      <c r="V20" s="104"/>
      <c r="W20" s="104"/>
      <c r="X20" s="104"/>
    </row>
    <row r="21" spans="1:24" ht="15">
      <c r="A21" s="104"/>
      <c r="B21" s="9" t="s">
        <v>917</v>
      </c>
      <c r="C21" s="104"/>
      <c r="D21" s="104"/>
      <c r="E21" s="180"/>
      <c r="F21" s="116"/>
      <c r="G21" s="116"/>
      <c r="H21" s="116"/>
      <c r="I21" s="116"/>
      <c r="J21" s="116"/>
      <c r="K21" s="104"/>
      <c r="L21" s="104"/>
      <c r="M21" s="104"/>
      <c r="N21" s="104"/>
      <c r="O21" s="104"/>
      <c r="P21" s="104"/>
      <c r="Q21" s="104"/>
      <c r="R21" s="104"/>
      <c r="S21" s="116"/>
      <c r="T21" s="51" t="s">
        <v>365</v>
      </c>
      <c r="U21" s="104"/>
      <c r="V21" s="107">
        <f>V59</f>
        <v>19151224</v>
      </c>
      <c r="W21" s="74"/>
      <c r="X21" s="5">
        <v>6588659</v>
      </c>
    </row>
    <row r="22" spans="1:24" ht="15">
      <c r="A22" s="104"/>
      <c r="B22" s="9" t="s">
        <v>918</v>
      </c>
      <c r="C22" s="104"/>
      <c r="D22" s="104"/>
      <c r="E22" s="180"/>
      <c r="F22" s="116"/>
      <c r="G22" s="116"/>
      <c r="H22" s="116"/>
      <c r="I22" s="116"/>
      <c r="J22" s="116"/>
      <c r="K22" s="104"/>
      <c r="L22" s="104"/>
      <c r="M22" s="104"/>
      <c r="N22" s="104"/>
      <c r="O22" s="104"/>
      <c r="P22" s="104"/>
      <c r="Q22" s="104"/>
      <c r="R22" s="104"/>
      <c r="S22" s="116"/>
      <c r="T22" s="51" t="s">
        <v>592</v>
      </c>
      <c r="U22" s="104"/>
      <c r="V22" s="205">
        <f>'NOTE 19.2 - 21'!P24</f>
        <v>396760</v>
      </c>
      <c r="W22" s="74"/>
      <c r="X22" s="75">
        <v>523176</v>
      </c>
    </row>
    <row r="23" spans="1:24" ht="15.75" thickBot="1">
      <c r="A23" s="104"/>
      <c r="B23" s="9"/>
      <c r="C23" s="104"/>
      <c r="D23" s="104"/>
      <c r="E23" s="180"/>
      <c r="F23" s="116"/>
      <c r="G23" s="116"/>
      <c r="H23" s="116"/>
      <c r="I23" s="116"/>
      <c r="J23" s="116"/>
      <c r="K23" s="104"/>
      <c r="L23" s="104"/>
      <c r="M23" s="104"/>
      <c r="N23" s="104"/>
      <c r="O23" s="104"/>
      <c r="P23" s="104"/>
      <c r="Q23" s="104"/>
      <c r="R23" s="104"/>
      <c r="S23" s="116"/>
      <c r="T23" s="104"/>
      <c r="U23" s="104"/>
      <c r="V23" s="91">
        <f>SUM(V21:V22)</f>
        <v>19547984</v>
      </c>
      <c r="W23" s="74"/>
      <c r="X23" s="78">
        <f>SUM(X21:X22)</f>
        <v>7111835</v>
      </c>
    </row>
    <row r="24" spans="1:67" s="104" customFormat="1" ht="18" customHeight="1" thickTop="1">
      <c r="A24" s="110" t="s">
        <v>365</v>
      </c>
      <c r="B24" s="326" t="s">
        <v>917</v>
      </c>
      <c r="C24" s="139"/>
      <c r="D24" s="139"/>
      <c r="E24" s="180"/>
      <c r="F24" s="116"/>
      <c r="G24" s="116"/>
      <c r="H24" s="116"/>
      <c r="I24" s="116"/>
      <c r="J24" s="116"/>
      <c r="S24" s="116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1:67" s="104" customFormat="1" ht="15" customHeight="1">
      <c r="A25" s="110"/>
      <c r="B25" s="326"/>
      <c r="C25" s="589">
        <v>2006</v>
      </c>
      <c r="D25" s="589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</row>
    <row r="26" spans="2:67" s="104" customFormat="1" ht="15">
      <c r="B26" s="139"/>
      <c r="C26" s="139"/>
      <c r="D26" s="139"/>
      <c r="E26" s="180"/>
      <c r="F26" s="116"/>
      <c r="G26" s="116"/>
      <c r="H26" s="116"/>
      <c r="I26" s="116"/>
      <c r="J26" s="116"/>
      <c r="S26" s="116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</row>
    <row r="27" spans="2:67" s="293" customFormat="1" ht="44.25" customHeight="1">
      <c r="B27" s="558" t="s">
        <v>384</v>
      </c>
      <c r="C27" s="556" t="s">
        <v>523</v>
      </c>
      <c r="D27" s="294"/>
      <c r="E27" s="557" t="s">
        <v>177</v>
      </c>
      <c r="F27" s="294"/>
      <c r="G27" s="557" t="s">
        <v>16</v>
      </c>
      <c r="H27" s="294"/>
      <c r="I27" s="557" t="s">
        <v>17</v>
      </c>
      <c r="J27" s="294"/>
      <c r="K27" s="556" t="s">
        <v>259</v>
      </c>
      <c r="L27" s="294"/>
      <c r="M27" s="556" t="s">
        <v>524</v>
      </c>
      <c r="N27" s="294"/>
      <c r="O27" s="556" t="s">
        <v>433</v>
      </c>
      <c r="P27" s="294"/>
      <c r="Q27" s="294"/>
      <c r="R27" s="556" t="s">
        <v>18</v>
      </c>
      <c r="S27" s="294"/>
      <c r="T27" s="556" t="s">
        <v>260</v>
      </c>
      <c r="U27" s="294"/>
      <c r="V27" s="556" t="s">
        <v>261</v>
      </c>
      <c r="W27" s="294"/>
      <c r="X27" s="556" t="s">
        <v>34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24" ht="20.25" customHeight="1">
      <c r="B28" s="559"/>
      <c r="C28" s="556"/>
      <c r="D28" s="294"/>
      <c r="E28" s="557"/>
      <c r="F28" s="294"/>
      <c r="G28" s="557"/>
      <c r="H28" s="294"/>
      <c r="I28" s="557"/>
      <c r="J28" s="294"/>
      <c r="K28" s="556"/>
      <c r="L28" s="294"/>
      <c r="M28" s="556"/>
      <c r="N28" s="294"/>
      <c r="O28" s="556"/>
      <c r="P28" s="294"/>
      <c r="Q28" s="294"/>
      <c r="R28" s="556"/>
      <c r="S28" s="294"/>
      <c r="T28" s="556"/>
      <c r="U28" s="294"/>
      <c r="V28" s="556"/>
      <c r="W28" s="294"/>
      <c r="X28" s="556"/>
    </row>
    <row r="29" spans="2:24" ht="9" customHeight="1">
      <c r="B29" s="293"/>
      <c r="C29" s="412" t="s">
        <v>19</v>
      </c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294"/>
      <c r="X29" s="294"/>
    </row>
    <row r="30" spans="2:24" ht="9.75" customHeight="1">
      <c r="B30" s="335"/>
      <c r="C30" s="332"/>
      <c r="D30" s="332"/>
      <c r="E30" s="336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294"/>
      <c r="X30" s="294"/>
    </row>
    <row r="31" spans="2:24" ht="12.75" customHeight="1">
      <c r="B31" s="335" t="s">
        <v>624</v>
      </c>
      <c r="C31" s="334">
        <v>827382</v>
      </c>
      <c r="D31" s="334"/>
      <c r="E31" s="334">
        <v>-19500</v>
      </c>
      <c r="F31" s="408"/>
      <c r="G31" s="408"/>
      <c r="H31" s="408"/>
      <c r="I31" s="408">
        <v>2769165</v>
      </c>
      <c r="J31" s="408"/>
      <c r="K31" s="334">
        <f>C31+E31+I31</f>
        <v>3577047</v>
      </c>
      <c r="L31" s="356"/>
      <c r="M31" s="334">
        <v>0</v>
      </c>
      <c r="N31" s="356"/>
      <c r="O31" s="334">
        <v>0</v>
      </c>
      <c r="P31" s="356"/>
      <c r="Q31" s="356"/>
      <c r="R31" s="356">
        <v>0</v>
      </c>
      <c r="S31" s="409"/>
      <c r="T31" s="334">
        <f>M31+O31+O32</f>
        <v>0</v>
      </c>
      <c r="U31" s="356"/>
      <c r="V31" s="334">
        <f>K31-T31</f>
        <v>3577047</v>
      </c>
      <c r="W31" s="294"/>
      <c r="X31" s="341" t="s">
        <v>97</v>
      </c>
    </row>
    <row r="32" spans="2:24" ht="12.75" customHeight="1">
      <c r="B32" s="335"/>
      <c r="C32" s="334"/>
      <c r="D32" s="334"/>
      <c r="E32" s="334"/>
      <c r="F32" s="408"/>
      <c r="G32" s="408"/>
      <c r="H32" s="408"/>
      <c r="I32" s="408"/>
      <c r="J32" s="408"/>
      <c r="K32" s="334"/>
      <c r="L32" s="356"/>
      <c r="M32" s="334"/>
      <c r="N32" s="356"/>
      <c r="O32" s="334"/>
      <c r="P32" s="356"/>
      <c r="Q32" s="356"/>
      <c r="R32" s="356"/>
      <c r="S32" s="409"/>
      <c r="T32" s="334"/>
      <c r="U32" s="356"/>
      <c r="V32" s="334"/>
      <c r="W32" s="294"/>
      <c r="X32" s="342"/>
    </row>
    <row r="33" spans="2:24" ht="7.5" customHeight="1">
      <c r="B33" s="335"/>
      <c r="C33" s="334"/>
      <c r="D33" s="334"/>
      <c r="E33" s="334"/>
      <c r="F33" s="408"/>
      <c r="G33" s="408"/>
      <c r="H33" s="408"/>
      <c r="I33" s="408"/>
      <c r="J33" s="408"/>
      <c r="K33" s="334"/>
      <c r="L33" s="356"/>
      <c r="M33" s="334"/>
      <c r="N33" s="356"/>
      <c r="O33" s="334"/>
      <c r="P33" s="356"/>
      <c r="Q33" s="356"/>
      <c r="R33" s="356"/>
      <c r="S33" s="409"/>
      <c r="T33" s="334"/>
      <c r="U33" s="356"/>
      <c r="V33" s="334"/>
      <c r="W33" s="294"/>
      <c r="X33" s="293"/>
    </row>
    <row r="34" spans="2:24" ht="12.75" customHeight="1">
      <c r="B34" s="335" t="s">
        <v>625</v>
      </c>
      <c r="C34" s="334">
        <v>4603327</v>
      </c>
      <c r="D34" s="334"/>
      <c r="E34" s="334"/>
      <c r="F34" s="408"/>
      <c r="G34" s="408">
        <v>-520889</v>
      </c>
      <c r="H34" s="408"/>
      <c r="I34" s="408">
        <v>8679767</v>
      </c>
      <c r="J34" s="408"/>
      <c r="K34" s="334">
        <f>C34+G34+I34</f>
        <v>12762205</v>
      </c>
      <c r="L34" s="356"/>
      <c r="M34" s="334">
        <v>428476</v>
      </c>
      <c r="N34" s="334"/>
      <c r="O34" s="334">
        <v>92413</v>
      </c>
      <c r="P34" s="334"/>
      <c r="Q34" s="334"/>
      <c r="R34" s="334">
        <v>-520889</v>
      </c>
      <c r="S34" s="408"/>
      <c r="T34" s="334">
        <f>M34+O34+R34</f>
        <v>0</v>
      </c>
      <c r="U34" s="356"/>
      <c r="V34" s="334">
        <f>K34-T34</f>
        <v>12762205</v>
      </c>
      <c r="W34" s="343"/>
      <c r="X34" s="555" t="s">
        <v>66</v>
      </c>
    </row>
    <row r="35" spans="2:24" ht="12.75" customHeight="1">
      <c r="B35" s="335"/>
      <c r="C35" s="334"/>
      <c r="D35" s="334"/>
      <c r="E35" s="334"/>
      <c r="F35" s="408"/>
      <c r="G35" s="408"/>
      <c r="H35" s="408"/>
      <c r="I35" s="408"/>
      <c r="J35" s="408"/>
      <c r="K35" s="334"/>
      <c r="L35" s="356"/>
      <c r="M35" s="334"/>
      <c r="N35" s="334"/>
      <c r="O35" s="334"/>
      <c r="P35" s="334"/>
      <c r="Q35" s="334"/>
      <c r="R35" s="334"/>
      <c r="S35" s="408"/>
      <c r="T35" s="334"/>
      <c r="U35" s="356"/>
      <c r="V35" s="334"/>
      <c r="W35" s="343"/>
      <c r="X35" s="555"/>
    </row>
    <row r="36" spans="2:24" ht="6.75" customHeight="1">
      <c r="B36" s="335"/>
      <c r="C36" s="334"/>
      <c r="D36" s="334"/>
      <c r="E36" s="334"/>
      <c r="F36" s="408"/>
      <c r="G36" s="408"/>
      <c r="H36" s="408"/>
      <c r="I36" s="408"/>
      <c r="J36" s="408"/>
      <c r="K36" s="334"/>
      <c r="L36" s="334"/>
      <c r="M36" s="334"/>
      <c r="N36" s="334"/>
      <c r="O36" s="334"/>
      <c r="P36" s="334"/>
      <c r="Q36" s="334"/>
      <c r="R36" s="334"/>
      <c r="S36" s="408"/>
      <c r="T36" s="334"/>
      <c r="U36" s="334"/>
      <c r="V36" s="334"/>
      <c r="W36" s="294"/>
      <c r="X36" s="338"/>
    </row>
    <row r="37" spans="2:24" ht="12.75" customHeight="1">
      <c r="B37" s="335" t="s">
        <v>691</v>
      </c>
      <c r="C37" s="334">
        <v>781962</v>
      </c>
      <c r="D37" s="334"/>
      <c r="E37" s="334">
        <v>9279</v>
      </c>
      <c r="F37" s="408"/>
      <c r="G37" s="408">
        <v>-330659</v>
      </c>
      <c r="H37" s="408"/>
      <c r="I37" s="408">
        <v>480246</v>
      </c>
      <c r="J37" s="408"/>
      <c r="K37" s="334">
        <f>+C37+E37+G37+I37</f>
        <v>940828</v>
      </c>
      <c r="L37" s="334"/>
      <c r="M37" s="334">
        <v>285451</v>
      </c>
      <c r="N37" s="334"/>
      <c r="O37" s="334">
        <v>45208</v>
      </c>
      <c r="P37" s="334"/>
      <c r="Q37" s="334"/>
      <c r="R37" s="334">
        <v>-330659</v>
      </c>
      <c r="S37" s="408"/>
      <c r="T37" s="334">
        <f>M37+O37+R37</f>
        <v>0</v>
      </c>
      <c r="U37" s="356"/>
      <c r="V37" s="334">
        <f>K37-T37</f>
        <v>940828</v>
      </c>
      <c r="W37" s="294"/>
      <c r="X37" s="344" t="s">
        <v>839</v>
      </c>
    </row>
    <row r="38" spans="2:24" ht="12.75" customHeight="1">
      <c r="B38" s="335"/>
      <c r="C38" s="334"/>
      <c r="D38" s="334"/>
      <c r="E38" s="334"/>
      <c r="F38" s="408"/>
      <c r="G38" s="408"/>
      <c r="H38" s="408"/>
      <c r="I38" s="408"/>
      <c r="J38" s="408"/>
      <c r="K38" s="334"/>
      <c r="L38" s="334"/>
      <c r="M38" s="334"/>
      <c r="N38" s="334"/>
      <c r="O38" s="334"/>
      <c r="P38" s="334"/>
      <c r="Q38" s="334"/>
      <c r="R38" s="334"/>
      <c r="S38" s="408"/>
      <c r="T38" s="334"/>
      <c r="U38" s="356"/>
      <c r="V38" s="334"/>
      <c r="W38" s="294"/>
      <c r="X38" s="344"/>
    </row>
    <row r="39" spans="2:24" ht="6.75" customHeight="1">
      <c r="B39" s="335"/>
      <c r="C39" s="334"/>
      <c r="D39" s="334"/>
      <c r="E39" s="334"/>
      <c r="F39" s="408"/>
      <c r="G39" s="408"/>
      <c r="H39" s="408"/>
      <c r="I39" s="408"/>
      <c r="J39" s="408"/>
      <c r="K39" s="334"/>
      <c r="L39" s="334"/>
      <c r="M39" s="334"/>
      <c r="N39" s="334"/>
      <c r="O39" s="334"/>
      <c r="P39" s="334"/>
      <c r="Q39" s="334"/>
      <c r="R39" s="334"/>
      <c r="S39" s="408"/>
      <c r="T39" s="334"/>
      <c r="U39" s="334"/>
      <c r="V39" s="334"/>
      <c r="W39" s="294"/>
      <c r="X39" s="345"/>
    </row>
    <row r="40" spans="2:24" ht="12.75" customHeight="1">
      <c r="B40" s="335" t="s">
        <v>692</v>
      </c>
      <c r="C40" s="334">
        <v>1064676</v>
      </c>
      <c r="D40" s="334"/>
      <c r="E40" s="334">
        <v>107254</v>
      </c>
      <c r="F40" s="408"/>
      <c r="G40" s="408">
        <v>-392106</v>
      </c>
      <c r="H40" s="408"/>
      <c r="I40" s="408">
        <v>623333</v>
      </c>
      <c r="J40" s="408"/>
      <c r="K40" s="334">
        <f>C40+E40+G40+I40</f>
        <v>1403157</v>
      </c>
      <c r="L40" s="334"/>
      <c r="M40" s="334">
        <v>311092</v>
      </c>
      <c r="N40" s="334"/>
      <c r="O40" s="334">
        <v>81014</v>
      </c>
      <c r="P40" s="334"/>
      <c r="Q40" s="334"/>
      <c r="R40" s="334">
        <v>-392106</v>
      </c>
      <c r="S40" s="408"/>
      <c r="T40" s="334">
        <f>M40+O40+R40</f>
        <v>0</v>
      </c>
      <c r="U40" s="356"/>
      <c r="V40" s="334">
        <f>K40-T40</f>
        <v>1403157</v>
      </c>
      <c r="W40" s="331"/>
      <c r="X40" s="344" t="s">
        <v>839</v>
      </c>
    </row>
    <row r="41" spans="2:24" ht="12.75" customHeight="1">
      <c r="B41" s="335"/>
      <c r="C41" s="334"/>
      <c r="D41" s="334"/>
      <c r="E41" s="334"/>
      <c r="F41" s="408"/>
      <c r="G41" s="408"/>
      <c r="H41" s="408"/>
      <c r="I41" s="408"/>
      <c r="J41" s="408"/>
      <c r="K41" s="334"/>
      <c r="L41" s="334"/>
      <c r="M41" s="334"/>
      <c r="N41" s="334"/>
      <c r="O41" s="410"/>
      <c r="P41" s="334"/>
      <c r="Q41" s="334"/>
      <c r="R41" s="334"/>
      <c r="S41" s="408"/>
      <c r="T41" s="334"/>
      <c r="U41" s="334"/>
      <c r="V41" s="334"/>
      <c r="W41" s="294"/>
      <c r="X41" s="345"/>
    </row>
    <row r="42" spans="2:24" ht="7.5" customHeight="1">
      <c r="B42" s="335"/>
      <c r="C42" s="334"/>
      <c r="D42" s="334"/>
      <c r="E42" s="334"/>
      <c r="F42" s="408"/>
      <c r="G42" s="408"/>
      <c r="H42" s="408"/>
      <c r="I42" s="408"/>
      <c r="J42" s="408"/>
      <c r="K42" s="334"/>
      <c r="L42" s="334"/>
      <c r="M42" s="334"/>
      <c r="N42" s="334"/>
      <c r="O42" s="334"/>
      <c r="P42" s="334"/>
      <c r="Q42" s="334"/>
      <c r="R42" s="334"/>
      <c r="S42" s="408"/>
      <c r="T42" s="334"/>
      <c r="U42" s="334"/>
      <c r="V42" s="334"/>
      <c r="W42" s="294"/>
      <c r="X42" s="345"/>
    </row>
    <row r="43" spans="2:24" ht="12.75" customHeight="1">
      <c r="B43" s="335" t="s">
        <v>623</v>
      </c>
      <c r="C43" s="334">
        <v>111967</v>
      </c>
      <c r="D43" s="334"/>
      <c r="E43" s="334">
        <v>23459</v>
      </c>
      <c r="F43" s="408"/>
      <c r="G43" s="408">
        <v>0</v>
      </c>
      <c r="H43" s="408"/>
      <c r="I43" s="408">
        <v>0</v>
      </c>
      <c r="J43" s="408"/>
      <c r="K43" s="334">
        <f>C43+E43+E44</f>
        <v>135407</v>
      </c>
      <c r="L43" s="334"/>
      <c r="M43" s="334">
        <v>41071</v>
      </c>
      <c r="N43" s="334"/>
      <c r="O43" s="334">
        <v>14670</v>
      </c>
      <c r="P43" s="334"/>
      <c r="Q43" s="334"/>
      <c r="R43" s="408">
        <v>0</v>
      </c>
      <c r="S43" s="408"/>
      <c r="T43" s="334">
        <f>M43+O43</f>
        <v>55741</v>
      </c>
      <c r="U43" s="356"/>
      <c r="V43" s="334">
        <f>K43-T43</f>
        <v>79666</v>
      </c>
      <c r="W43" s="294"/>
      <c r="X43" s="347">
        <v>10</v>
      </c>
    </row>
    <row r="44" spans="2:24" ht="12.75" customHeight="1">
      <c r="B44" s="335"/>
      <c r="C44" s="334"/>
      <c r="D44" s="334"/>
      <c r="E44" s="334">
        <v>-19</v>
      </c>
      <c r="F44" s="408"/>
      <c r="G44" s="408"/>
      <c r="H44" s="408"/>
      <c r="I44" s="408"/>
      <c r="J44" s="408"/>
      <c r="K44" s="334"/>
      <c r="L44" s="334"/>
      <c r="M44" s="334"/>
      <c r="N44" s="334"/>
      <c r="O44" s="334"/>
      <c r="P44" s="334"/>
      <c r="Q44" s="334"/>
      <c r="R44" s="334"/>
      <c r="S44" s="408"/>
      <c r="T44" s="334"/>
      <c r="U44" s="356"/>
      <c r="V44" s="334"/>
      <c r="W44" s="294"/>
      <c r="X44" s="347"/>
    </row>
    <row r="45" spans="2:24" ht="7.5" customHeight="1">
      <c r="B45" s="335"/>
      <c r="C45" s="334"/>
      <c r="D45" s="334"/>
      <c r="F45" s="408"/>
      <c r="G45" s="408"/>
      <c r="H45" s="408"/>
      <c r="I45" s="408"/>
      <c r="J45" s="408"/>
      <c r="K45" s="334"/>
      <c r="L45" s="334"/>
      <c r="M45" s="334"/>
      <c r="N45" s="334"/>
      <c r="O45" s="334"/>
      <c r="P45" s="334"/>
      <c r="Q45" s="334"/>
      <c r="R45" s="334"/>
      <c r="S45" s="408"/>
      <c r="T45" s="334"/>
      <c r="U45" s="356"/>
      <c r="V45" s="334"/>
      <c r="W45" s="294"/>
      <c r="X45" s="347"/>
    </row>
    <row r="46" spans="2:24" ht="12.75" customHeight="1">
      <c r="B46" s="335" t="s">
        <v>626</v>
      </c>
      <c r="C46" s="334">
        <v>355624</v>
      </c>
      <c r="D46" s="334"/>
      <c r="E46" s="334">
        <v>78394</v>
      </c>
      <c r="F46" s="408"/>
      <c r="G46" s="408">
        <v>0</v>
      </c>
      <c r="H46" s="408"/>
      <c r="I46" s="408">
        <v>0</v>
      </c>
      <c r="J46" s="408"/>
      <c r="K46" s="334">
        <f>C46+E46+E47</f>
        <v>433657</v>
      </c>
      <c r="L46" s="334"/>
      <c r="M46" s="334">
        <v>241119</v>
      </c>
      <c r="N46" s="334"/>
      <c r="O46" s="334">
        <v>41618</v>
      </c>
      <c r="P46" s="334"/>
      <c r="Q46" s="334"/>
      <c r="R46" s="408">
        <v>0</v>
      </c>
      <c r="S46" s="408"/>
      <c r="T46" s="334">
        <f>M46+O46+O47</f>
        <v>282396</v>
      </c>
      <c r="U46" s="356"/>
      <c r="V46" s="334">
        <f>K46-T46</f>
        <v>151261</v>
      </c>
      <c r="W46" s="294"/>
      <c r="X46" s="348">
        <v>20</v>
      </c>
    </row>
    <row r="47" spans="2:24" ht="12.75" customHeight="1">
      <c r="B47" s="335"/>
      <c r="C47" s="334"/>
      <c r="D47" s="334"/>
      <c r="E47" s="334">
        <v>-361</v>
      </c>
      <c r="F47" s="408"/>
      <c r="G47" s="408"/>
      <c r="H47" s="408"/>
      <c r="I47" s="408"/>
      <c r="J47" s="408"/>
      <c r="K47" s="334"/>
      <c r="L47" s="334"/>
      <c r="M47" s="334"/>
      <c r="N47" s="334"/>
      <c r="O47" s="334">
        <v>-341</v>
      </c>
      <c r="P47" s="334"/>
      <c r="Q47" s="334"/>
      <c r="R47" s="334"/>
      <c r="S47" s="408"/>
      <c r="T47" s="334"/>
      <c r="U47" s="356"/>
      <c r="V47" s="334"/>
      <c r="W47" s="294"/>
      <c r="X47" s="348"/>
    </row>
    <row r="48" spans="2:24" ht="7.5" customHeight="1">
      <c r="B48" s="335"/>
      <c r="C48" s="334"/>
      <c r="D48" s="334"/>
      <c r="E48" s="334"/>
      <c r="F48" s="408"/>
      <c r="G48" s="408"/>
      <c r="H48" s="408"/>
      <c r="I48" s="408"/>
      <c r="J48" s="408"/>
      <c r="K48" s="334"/>
      <c r="L48" s="334"/>
      <c r="M48" s="334"/>
      <c r="N48" s="334"/>
      <c r="O48" s="334"/>
      <c r="P48" s="334"/>
      <c r="Q48" s="334"/>
      <c r="R48" s="334"/>
      <c r="S48" s="408"/>
      <c r="T48" s="334"/>
      <c r="U48" s="356"/>
      <c r="V48" s="334"/>
      <c r="W48" s="294"/>
      <c r="X48" s="348"/>
    </row>
    <row r="49" spans="2:24" ht="9" customHeight="1">
      <c r="B49" s="335"/>
      <c r="C49" s="334"/>
      <c r="D49" s="334"/>
      <c r="E49" s="334"/>
      <c r="F49" s="408"/>
      <c r="G49" s="408"/>
      <c r="H49" s="408"/>
      <c r="I49" s="408"/>
      <c r="J49" s="408"/>
      <c r="K49" s="334"/>
      <c r="L49" s="334"/>
      <c r="M49" s="334"/>
      <c r="N49" s="334"/>
      <c r="O49" s="334"/>
      <c r="P49" s="334"/>
      <c r="Q49" s="334"/>
      <c r="R49" s="334"/>
      <c r="S49" s="408"/>
      <c r="T49" s="334"/>
      <c r="U49" s="334"/>
      <c r="V49" s="334"/>
      <c r="W49" s="294"/>
      <c r="X49" s="345"/>
    </row>
    <row r="50" spans="2:24" ht="12.75" customHeight="1">
      <c r="B50" s="335" t="s">
        <v>834</v>
      </c>
      <c r="C50" s="334">
        <v>660605</v>
      </c>
      <c r="D50" s="334"/>
      <c r="E50" s="334">
        <v>232401</v>
      </c>
      <c r="F50" s="408"/>
      <c r="G50" s="408">
        <v>0</v>
      </c>
      <c r="H50" s="408"/>
      <c r="I50" s="408">
        <v>0</v>
      </c>
      <c r="J50" s="408"/>
      <c r="K50" s="334">
        <f>C50+E50+E51</f>
        <v>841690</v>
      </c>
      <c r="L50" s="334"/>
      <c r="M50" s="334">
        <v>564520</v>
      </c>
      <c r="N50" s="334"/>
      <c r="O50" s="334">
        <v>109192</v>
      </c>
      <c r="P50" s="334"/>
      <c r="Q50" s="334"/>
      <c r="R50" s="408">
        <v>0</v>
      </c>
      <c r="S50" s="408"/>
      <c r="T50" s="334">
        <f>M50+O50+O51</f>
        <v>673670</v>
      </c>
      <c r="U50" s="356"/>
      <c r="V50" s="334">
        <f>K50-T50</f>
        <v>168020</v>
      </c>
      <c r="W50" s="294"/>
      <c r="X50" s="344" t="s">
        <v>848</v>
      </c>
    </row>
    <row r="51" spans="2:24" ht="12.75" customHeight="1">
      <c r="B51" s="335"/>
      <c r="C51" s="334"/>
      <c r="D51" s="334"/>
      <c r="E51" s="334">
        <v>-51316</v>
      </c>
      <c r="F51" s="408"/>
      <c r="G51" s="408"/>
      <c r="H51" s="408"/>
      <c r="I51" s="408"/>
      <c r="J51" s="408"/>
      <c r="K51" s="334"/>
      <c r="L51" s="334"/>
      <c r="M51" s="334"/>
      <c r="N51" s="334"/>
      <c r="O51" s="334">
        <v>-42</v>
      </c>
      <c r="P51" s="334"/>
      <c r="Q51" s="334"/>
      <c r="R51" s="334"/>
      <c r="S51" s="408"/>
      <c r="T51" s="334"/>
      <c r="U51" s="334"/>
      <c r="V51" s="334"/>
      <c r="W51" s="294"/>
      <c r="X51" s="345"/>
    </row>
    <row r="52" spans="2:24" ht="12.75" customHeight="1">
      <c r="B52" s="335"/>
      <c r="C52" s="334"/>
      <c r="D52" s="334"/>
      <c r="E52" s="334"/>
      <c r="F52" s="408"/>
      <c r="G52" s="408"/>
      <c r="H52" s="408"/>
      <c r="I52" s="408"/>
      <c r="J52" s="408"/>
      <c r="K52" s="334"/>
      <c r="L52" s="334"/>
      <c r="M52" s="334"/>
      <c r="N52" s="334"/>
      <c r="O52" s="334"/>
      <c r="P52" s="334"/>
      <c r="Q52" s="334"/>
      <c r="R52" s="334"/>
      <c r="S52" s="408"/>
      <c r="T52" s="334"/>
      <c r="U52" s="334"/>
      <c r="V52" s="334"/>
      <c r="W52" s="294"/>
      <c r="X52" s="345"/>
    </row>
    <row r="53" spans="2:24" ht="8.25" customHeight="1">
      <c r="B53" s="335"/>
      <c r="C53" s="334"/>
      <c r="D53" s="334"/>
      <c r="E53" s="334"/>
      <c r="F53" s="408"/>
      <c r="G53" s="408"/>
      <c r="H53" s="408"/>
      <c r="I53" s="408"/>
      <c r="J53" s="408"/>
      <c r="K53" s="334"/>
      <c r="L53" s="334"/>
      <c r="M53" s="334"/>
      <c r="N53" s="334"/>
      <c r="O53" s="334"/>
      <c r="P53" s="334"/>
      <c r="Q53" s="334"/>
      <c r="R53" s="334"/>
      <c r="S53" s="408"/>
      <c r="T53" s="334"/>
      <c r="U53" s="334"/>
      <c r="V53" s="334"/>
      <c r="W53" s="294"/>
      <c r="X53" s="345"/>
    </row>
    <row r="54" spans="2:24" ht="12.75" customHeight="1">
      <c r="B54" s="335" t="s">
        <v>627</v>
      </c>
      <c r="C54" s="334">
        <v>97419</v>
      </c>
      <c r="D54" s="334"/>
      <c r="E54" s="334">
        <v>37706</v>
      </c>
      <c r="F54" s="408"/>
      <c r="G54" s="408">
        <v>0</v>
      </c>
      <c r="H54" s="408"/>
      <c r="I54" s="408">
        <v>0</v>
      </c>
      <c r="J54" s="408"/>
      <c r="K54" s="334">
        <f>C54+E54+E55</f>
        <v>120217</v>
      </c>
      <c r="L54" s="334"/>
      <c r="M54" s="334">
        <v>42573</v>
      </c>
      <c r="N54" s="334"/>
      <c r="O54" s="334">
        <v>18949</v>
      </c>
      <c r="P54" s="334"/>
      <c r="Q54" s="334"/>
      <c r="R54" s="408">
        <v>0</v>
      </c>
      <c r="S54" s="408"/>
      <c r="T54" s="334">
        <f>M54+O54+O55</f>
        <v>51177</v>
      </c>
      <c r="U54" s="356"/>
      <c r="V54" s="334">
        <f>K54-T54</f>
        <v>69040</v>
      </c>
      <c r="W54" s="294"/>
      <c r="X54" s="344" t="s">
        <v>840</v>
      </c>
    </row>
    <row r="55" spans="2:24" ht="12.75" customHeight="1">
      <c r="B55" s="335"/>
      <c r="C55" s="334"/>
      <c r="D55" s="334"/>
      <c r="E55" s="334">
        <v>-14908</v>
      </c>
      <c r="F55" s="408"/>
      <c r="G55" s="408"/>
      <c r="H55" s="408"/>
      <c r="I55" s="408"/>
      <c r="J55" s="408"/>
      <c r="K55" s="334"/>
      <c r="L55" s="334"/>
      <c r="M55" s="334"/>
      <c r="N55" s="334"/>
      <c r="O55" s="334">
        <v>-10345</v>
      </c>
      <c r="P55" s="334"/>
      <c r="Q55" s="334"/>
      <c r="R55" s="334"/>
      <c r="S55" s="408"/>
      <c r="T55" s="334"/>
      <c r="U55" s="356"/>
      <c r="V55" s="334"/>
      <c r="W55" s="294"/>
      <c r="X55" s="344"/>
    </row>
    <row r="56" spans="2:24" ht="4.5" customHeight="1">
      <c r="B56" s="335"/>
      <c r="C56" s="334"/>
      <c r="D56" s="334"/>
      <c r="E56" s="334"/>
      <c r="F56" s="408"/>
      <c r="G56" s="408"/>
      <c r="H56" s="408"/>
      <c r="I56" s="408"/>
      <c r="J56" s="408"/>
      <c r="K56" s="334"/>
      <c r="L56" s="334"/>
      <c r="M56" s="334"/>
      <c r="N56" s="334"/>
      <c r="O56" s="334"/>
      <c r="P56" s="334"/>
      <c r="Q56" s="334"/>
      <c r="R56" s="334"/>
      <c r="S56" s="408"/>
      <c r="T56" s="334"/>
      <c r="U56" s="356"/>
      <c r="V56" s="334"/>
      <c r="W56" s="294"/>
      <c r="X56" s="344"/>
    </row>
    <row r="57" spans="2:24" ht="12.75" customHeight="1">
      <c r="B57" s="335" t="s">
        <v>31</v>
      </c>
      <c r="C57" s="334">
        <v>726</v>
      </c>
      <c r="D57" s="334"/>
      <c r="E57" s="334">
        <v>29</v>
      </c>
      <c r="F57" s="408"/>
      <c r="G57" s="408">
        <v>0</v>
      </c>
      <c r="H57" s="408"/>
      <c r="I57" s="408">
        <v>0</v>
      </c>
      <c r="J57" s="408"/>
      <c r="K57" s="334">
        <f>C57+E57+E58</f>
        <v>755</v>
      </c>
      <c r="L57" s="334"/>
      <c r="M57" s="334">
        <v>726</v>
      </c>
      <c r="N57" s="334"/>
      <c r="O57" s="334">
        <v>29</v>
      </c>
      <c r="P57" s="334"/>
      <c r="Q57" s="334"/>
      <c r="R57" s="408">
        <v>0</v>
      </c>
      <c r="S57" s="408"/>
      <c r="T57" s="334">
        <f>M57+O57</f>
        <v>755</v>
      </c>
      <c r="U57" s="356"/>
      <c r="V57" s="334">
        <f>K57-T57</f>
        <v>0</v>
      </c>
      <c r="W57" s="294"/>
      <c r="X57" s="344"/>
    </row>
    <row r="58" spans="2:24" ht="7.5" customHeight="1">
      <c r="B58" s="335"/>
      <c r="C58" s="349"/>
      <c r="D58" s="337"/>
      <c r="E58" s="349"/>
      <c r="F58" s="338"/>
      <c r="G58" s="413"/>
      <c r="H58" s="338"/>
      <c r="I58" s="413"/>
      <c r="J58" s="338"/>
      <c r="K58" s="349"/>
      <c r="L58" s="337"/>
      <c r="M58" s="349"/>
      <c r="N58" s="337"/>
      <c r="O58" s="349"/>
      <c r="P58" s="337"/>
      <c r="Q58" s="337"/>
      <c r="R58" s="349"/>
      <c r="S58" s="338"/>
      <c r="T58" s="349"/>
      <c r="U58" s="339"/>
      <c r="V58" s="349"/>
      <c r="W58" s="294"/>
      <c r="X58" s="350"/>
    </row>
    <row r="59" spans="2:24" ht="12" customHeight="1">
      <c r="B59" s="352"/>
      <c r="C59" s="364">
        <f>SUM(C31:C58)</f>
        <v>8503688</v>
      </c>
      <c r="D59" s="364"/>
      <c r="E59" s="364">
        <f>E37+E40+E43+E46+E50+E54+E57</f>
        <v>488522</v>
      </c>
      <c r="F59" s="365"/>
      <c r="G59" s="365">
        <f>SUM(G31:G57)</f>
        <v>-1243654</v>
      </c>
      <c r="H59" s="365"/>
      <c r="I59" s="365">
        <f>SUM(I31:I57)</f>
        <v>12552511</v>
      </c>
      <c r="J59" s="365"/>
      <c r="K59" s="364">
        <f>SUM(K31:K58)</f>
        <v>20214963</v>
      </c>
      <c r="L59" s="364"/>
      <c r="M59" s="364">
        <f>SUM(M34:M58)</f>
        <v>1915028</v>
      </c>
      <c r="N59" s="364"/>
      <c r="O59" s="364">
        <f>+O54+O50+O46+O43+O40+O37+O31+O34+O57</f>
        <v>403093</v>
      </c>
      <c r="P59" s="364"/>
      <c r="Q59" s="364"/>
      <c r="R59" s="364">
        <f>SUM(R31:R57)</f>
        <v>-1243654</v>
      </c>
      <c r="S59" s="365"/>
      <c r="T59" s="364">
        <f>SUM(T34:T58)</f>
        <v>1063739</v>
      </c>
      <c r="U59" s="364"/>
      <c r="V59" s="364">
        <f>SUM(V31:V58)</f>
        <v>19151224</v>
      </c>
      <c r="W59" s="294"/>
      <c r="X59" s="350"/>
    </row>
    <row r="60" spans="2:67" s="324" customFormat="1" ht="12" customHeight="1">
      <c r="B60" s="351"/>
      <c r="C60" s="366"/>
      <c r="D60" s="366"/>
      <c r="E60" s="366">
        <f>E55+E51+E47+E44+E31</f>
        <v>-86104</v>
      </c>
      <c r="F60" s="367"/>
      <c r="G60" s="367"/>
      <c r="H60" s="367"/>
      <c r="I60" s="367"/>
      <c r="J60" s="367"/>
      <c r="K60" s="366"/>
      <c r="L60" s="366"/>
      <c r="M60" s="366"/>
      <c r="N60" s="366"/>
      <c r="O60" s="366">
        <f>O32+O35+O39+O41+O44+O47+O55+O51</f>
        <v>-10728</v>
      </c>
      <c r="P60" s="367"/>
      <c r="Q60" s="367"/>
      <c r="R60" s="367"/>
      <c r="S60" s="367"/>
      <c r="T60" s="366"/>
      <c r="U60" s="366"/>
      <c r="V60" s="366"/>
      <c r="W60" s="343"/>
      <c r="X60" s="350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</row>
    <row r="61" spans="2:24" ht="12" customHeight="1" hidden="1">
      <c r="B61" s="335"/>
      <c r="C61" s="366"/>
      <c r="D61" s="366"/>
      <c r="E61" s="366"/>
      <c r="F61" s="367"/>
      <c r="G61" s="367"/>
      <c r="H61" s="367"/>
      <c r="I61" s="367"/>
      <c r="J61" s="367"/>
      <c r="K61" s="366"/>
      <c r="L61" s="366"/>
      <c r="M61" s="366"/>
      <c r="N61" s="366"/>
      <c r="O61" s="366"/>
      <c r="P61" s="366"/>
      <c r="Q61" s="366"/>
      <c r="R61" s="366"/>
      <c r="S61" s="367"/>
      <c r="T61" s="366"/>
      <c r="U61" s="366"/>
      <c r="V61" s="366"/>
      <c r="W61" s="294"/>
      <c r="X61" s="350"/>
    </row>
    <row r="62" spans="2:24" ht="15.75" customHeight="1" thickBot="1">
      <c r="B62" s="352"/>
      <c r="C62" s="370"/>
      <c r="D62" s="368"/>
      <c r="E62" s="371">
        <f>E52</f>
        <v>0</v>
      </c>
      <c r="F62" s="369"/>
      <c r="G62" s="414"/>
      <c r="H62" s="369"/>
      <c r="I62" s="414"/>
      <c r="J62" s="369"/>
      <c r="K62" s="370"/>
      <c r="L62" s="368"/>
      <c r="M62" s="370"/>
      <c r="N62" s="368"/>
      <c r="O62" s="411">
        <f>O52</f>
        <v>0</v>
      </c>
      <c r="P62" s="368"/>
      <c r="Q62" s="368"/>
      <c r="R62" s="370"/>
      <c r="S62" s="369"/>
      <c r="T62" s="370"/>
      <c r="U62" s="368"/>
      <c r="V62" s="370"/>
      <c r="W62" s="293"/>
      <c r="X62" s="354"/>
    </row>
    <row r="63" spans="2:24" ht="13.5" hidden="1" thickTop="1">
      <c r="B63" s="335"/>
      <c r="C63" s="337"/>
      <c r="D63" s="337"/>
      <c r="E63" s="337"/>
      <c r="F63" s="338"/>
      <c r="G63" s="338"/>
      <c r="H63" s="338"/>
      <c r="I63" s="338"/>
      <c r="J63" s="338"/>
      <c r="K63" s="337"/>
      <c r="L63" s="337"/>
      <c r="M63" s="337"/>
      <c r="N63" s="337"/>
      <c r="O63" s="337"/>
      <c r="P63" s="337"/>
      <c r="Q63" s="337"/>
      <c r="R63" s="337"/>
      <c r="S63" s="338"/>
      <c r="T63" s="337"/>
      <c r="U63" s="337"/>
      <c r="V63" s="337"/>
      <c r="W63" s="294"/>
      <c r="X63" s="294"/>
    </row>
    <row r="64" spans="2:24" ht="15.75" customHeight="1" hidden="1" thickBot="1" thickTop="1">
      <c r="B64" s="335"/>
      <c r="C64" s="355"/>
      <c r="D64" s="339"/>
      <c r="E64" s="355"/>
      <c r="F64" s="340"/>
      <c r="G64" s="340"/>
      <c r="H64" s="340"/>
      <c r="I64" s="340"/>
      <c r="J64" s="340"/>
      <c r="K64" s="355">
        <v>0</v>
      </c>
      <c r="L64" s="339"/>
      <c r="M64" s="355">
        <v>0</v>
      </c>
      <c r="N64" s="339"/>
      <c r="O64" s="355">
        <v>0</v>
      </c>
      <c r="P64" s="339"/>
      <c r="Q64" s="339"/>
      <c r="R64" s="339"/>
      <c r="S64" s="340"/>
      <c r="T64" s="355">
        <v>0</v>
      </c>
      <c r="U64" s="339"/>
      <c r="V64" s="355">
        <v>0</v>
      </c>
      <c r="W64" s="294"/>
      <c r="X64" s="353"/>
    </row>
    <row r="65" spans="2:24" ht="13.5" hidden="1" thickTop="1">
      <c r="B65" s="352"/>
      <c r="C65" s="339"/>
      <c r="D65" s="339"/>
      <c r="E65" s="337">
        <v>-51194</v>
      </c>
      <c r="F65" s="353"/>
      <c r="G65" s="353"/>
      <c r="H65" s="353"/>
      <c r="I65" s="353"/>
      <c r="J65" s="353"/>
      <c r="K65" s="346"/>
      <c r="L65" s="346"/>
      <c r="M65" s="346"/>
      <c r="N65" s="339"/>
      <c r="O65" s="346">
        <v>0</v>
      </c>
      <c r="P65" s="339"/>
      <c r="Q65" s="339"/>
      <c r="R65" s="339"/>
      <c r="S65" s="340"/>
      <c r="T65" s="339"/>
      <c r="U65" s="339"/>
      <c r="V65" s="339"/>
      <c r="W65" s="294"/>
      <c r="X65" s="353"/>
    </row>
    <row r="66" spans="2:24" ht="13.5" thickTop="1">
      <c r="B66" s="352"/>
      <c r="C66" s="339"/>
      <c r="D66" s="339"/>
      <c r="E66" s="337"/>
      <c r="F66" s="353"/>
      <c r="G66" s="353"/>
      <c r="H66" s="353"/>
      <c r="I66" s="353"/>
      <c r="J66" s="353"/>
      <c r="K66" s="346"/>
      <c r="L66" s="346"/>
      <c r="M66" s="346"/>
      <c r="N66" s="339"/>
      <c r="O66" s="346"/>
      <c r="P66" s="339"/>
      <c r="Q66" s="339"/>
      <c r="R66" s="339"/>
      <c r="S66" s="340"/>
      <c r="T66" s="339"/>
      <c r="U66" s="339"/>
      <c r="V66" s="339"/>
      <c r="W66" s="294"/>
      <c r="X66" s="353"/>
    </row>
    <row r="67" spans="2:24" ht="15">
      <c r="B67" s="352"/>
      <c r="C67" s="554">
        <v>2005</v>
      </c>
      <c r="D67" s="554"/>
      <c r="E67" s="554"/>
      <c r="F67" s="554"/>
      <c r="G67" s="554"/>
      <c r="H67" s="554"/>
      <c r="I67" s="554"/>
      <c r="J67" s="554"/>
      <c r="K67" s="554"/>
      <c r="L67" s="554"/>
      <c r="M67" s="554"/>
      <c r="N67" s="554"/>
      <c r="O67" s="554"/>
      <c r="P67" s="554"/>
      <c r="Q67" s="554"/>
      <c r="R67" s="554"/>
      <c r="S67" s="554"/>
      <c r="T67" s="554"/>
      <c r="U67" s="554"/>
      <c r="V67" s="554"/>
      <c r="W67" s="294"/>
      <c r="X67" s="353"/>
    </row>
    <row r="68" spans="2:24" ht="12.75">
      <c r="B68" s="352"/>
      <c r="C68" s="339"/>
      <c r="D68" s="339"/>
      <c r="E68" s="337"/>
      <c r="F68" s="353"/>
      <c r="G68" s="353"/>
      <c r="H68" s="353"/>
      <c r="I68" s="353"/>
      <c r="J68" s="353"/>
      <c r="K68" s="346"/>
      <c r="L68" s="346"/>
      <c r="M68" s="346"/>
      <c r="N68" s="339"/>
      <c r="O68" s="346"/>
      <c r="P68" s="339"/>
      <c r="Q68" s="339"/>
      <c r="R68" s="339"/>
      <c r="S68" s="340"/>
      <c r="T68" s="339"/>
      <c r="U68" s="339"/>
      <c r="V68" s="339"/>
      <c r="W68" s="294"/>
      <c r="X68" s="353"/>
    </row>
    <row r="69" spans="2:24" ht="12.75">
      <c r="B69" s="335" t="s">
        <v>624</v>
      </c>
      <c r="C69" s="339">
        <v>807882</v>
      </c>
      <c r="D69" s="339"/>
      <c r="E69" s="337">
        <v>19500</v>
      </c>
      <c r="F69" s="353"/>
      <c r="G69" s="353">
        <v>0</v>
      </c>
      <c r="H69" s="353"/>
      <c r="I69" s="353">
        <v>0</v>
      </c>
      <c r="J69" s="353"/>
      <c r="K69" s="346">
        <f>SUM(C69:I70)</f>
        <v>827382</v>
      </c>
      <c r="L69" s="346"/>
      <c r="M69" s="346">
        <v>0</v>
      </c>
      <c r="N69" s="339"/>
      <c r="O69" s="346">
        <v>0</v>
      </c>
      <c r="P69" s="339"/>
      <c r="Q69" s="339"/>
      <c r="R69" s="339">
        <v>0</v>
      </c>
      <c r="S69" s="340"/>
      <c r="T69" s="339">
        <f>SUM(M69:R70)</f>
        <v>0</v>
      </c>
      <c r="U69" s="339"/>
      <c r="V69" s="339">
        <f>K69-T69</f>
        <v>827382</v>
      </c>
      <c r="W69" s="294"/>
      <c r="X69" s="353"/>
    </row>
    <row r="70" spans="2:24" ht="12.75">
      <c r="B70" s="335"/>
      <c r="C70" s="339"/>
      <c r="D70" s="339"/>
      <c r="E70" s="337"/>
      <c r="F70" s="353"/>
      <c r="G70" s="353"/>
      <c r="H70" s="353"/>
      <c r="I70" s="353"/>
      <c r="J70" s="353"/>
      <c r="K70" s="346"/>
      <c r="L70" s="346"/>
      <c r="M70" s="346"/>
      <c r="N70" s="339"/>
      <c r="O70" s="346"/>
      <c r="P70" s="339"/>
      <c r="Q70" s="339"/>
      <c r="R70" s="339"/>
      <c r="S70" s="340"/>
      <c r="T70" s="339"/>
      <c r="U70" s="339"/>
      <c r="V70" s="339"/>
      <c r="W70" s="294"/>
      <c r="X70" s="353"/>
    </row>
    <row r="71" spans="2:24" ht="7.5" customHeight="1">
      <c r="B71" s="335"/>
      <c r="C71" s="339"/>
      <c r="D71" s="339"/>
      <c r="E71" s="337"/>
      <c r="F71" s="353"/>
      <c r="G71" s="353"/>
      <c r="H71" s="353"/>
      <c r="I71" s="353"/>
      <c r="J71" s="353"/>
      <c r="K71" s="346"/>
      <c r="L71" s="346"/>
      <c r="M71" s="346"/>
      <c r="N71" s="339"/>
      <c r="O71" s="346"/>
      <c r="P71" s="339"/>
      <c r="Q71" s="339"/>
      <c r="R71" s="339"/>
      <c r="S71" s="340"/>
      <c r="T71" s="339"/>
      <c r="U71" s="339"/>
      <c r="V71" s="339"/>
      <c r="W71" s="294"/>
      <c r="X71" s="353"/>
    </row>
    <row r="72" spans="2:24" ht="12.75">
      <c r="B72" s="335" t="s">
        <v>625</v>
      </c>
      <c r="C72" s="339">
        <v>4996893</v>
      </c>
      <c r="D72" s="339"/>
      <c r="E72" s="337">
        <v>0</v>
      </c>
      <c r="F72" s="353"/>
      <c r="G72" s="353"/>
      <c r="H72" s="353"/>
      <c r="I72" s="353">
        <v>0</v>
      </c>
      <c r="J72" s="353"/>
      <c r="K72" s="346">
        <f>SUM(C72:I73)</f>
        <v>4603327</v>
      </c>
      <c r="L72" s="346"/>
      <c r="M72" s="346">
        <v>338397</v>
      </c>
      <c r="N72" s="339"/>
      <c r="O72" s="346">
        <v>109086</v>
      </c>
      <c r="P72" s="339"/>
      <c r="Q72" s="339"/>
      <c r="R72" s="339">
        <v>0</v>
      </c>
      <c r="S72" s="340"/>
      <c r="T72" s="339">
        <f>SUM(M72:R73)</f>
        <v>428476</v>
      </c>
      <c r="U72" s="339"/>
      <c r="V72" s="339">
        <f>K72-T72</f>
        <v>4174851</v>
      </c>
      <c r="W72" s="294"/>
      <c r="X72" s="555" t="s">
        <v>66</v>
      </c>
    </row>
    <row r="73" spans="2:24" ht="12.75">
      <c r="B73" s="335"/>
      <c r="C73" s="339"/>
      <c r="D73" s="339"/>
      <c r="E73" s="337">
        <v>-393566</v>
      </c>
      <c r="F73" s="353"/>
      <c r="G73" s="353">
        <v>0</v>
      </c>
      <c r="H73" s="353"/>
      <c r="I73" s="353"/>
      <c r="J73" s="353"/>
      <c r="K73" s="346"/>
      <c r="L73" s="346"/>
      <c r="M73" s="346"/>
      <c r="N73" s="339"/>
      <c r="O73" s="346">
        <v>-19007</v>
      </c>
      <c r="P73" s="339"/>
      <c r="Q73" s="339"/>
      <c r="R73" s="339"/>
      <c r="S73" s="340"/>
      <c r="T73" s="339"/>
      <c r="U73" s="339"/>
      <c r="V73" s="339"/>
      <c r="W73" s="294"/>
      <c r="X73" s="555"/>
    </row>
    <row r="74" spans="2:24" ht="7.5" customHeight="1">
      <c r="B74" s="335"/>
      <c r="C74" s="339"/>
      <c r="D74" s="339"/>
      <c r="E74" s="337"/>
      <c r="F74" s="353"/>
      <c r="G74" s="353"/>
      <c r="H74" s="353"/>
      <c r="I74" s="353"/>
      <c r="J74" s="353"/>
      <c r="K74" s="346"/>
      <c r="L74" s="346"/>
      <c r="M74" s="346"/>
      <c r="N74" s="339"/>
      <c r="O74" s="346"/>
      <c r="P74" s="339"/>
      <c r="Q74" s="339"/>
      <c r="R74" s="339"/>
      <c r="S74" s="340"/>
      <c r="T74" s="339"/>
      <c r="U74" s="339"/>
      <c r="V74" s="339"/>
      <c r="W74" s="294"/>
      <c r="X74" s="338"/>
    </row>
    <row r="75" spans="2:24" ht="12.75">
      <c r="B75" s="335" t="s">
        <v>691</v>
      </c>
      <c r="C75" s="339">
        <v>779969</v>
      </c>
      <c r="D75" s="339"/>
      <c r="E75" s="337">
        <v>1993</v>
      </c>
      <c r="F75" s="353"/>
      <c r="G75" s="353">
        <v>0</v>
      </c>
      <c r="H75" s="353"/>
      <c r="I75" s="353">
        <v>0</v>
      </c>
      <c r="J75" s="353"/>
      <c r="K75" s="346">
        <f>SUM(C75:I76)</f>
        <v>781962</v>
      </c>
      <c r="L75" s="346"/>
      <c r="M75" s="346">
        <v>240478</v>
      </c>
      <c r="N75" s="339"/>
      <c r="O75" s="346">
        <v>44973</v>
      </c>
      <c r="P75" s="339"/>
      <c r="Q75" s="339"/>
      <c r="R75" s="339">
        <v>0</v>
      </c>
      <c r="S75" s="340"/>
      <c r="T75" s="339">
        <f>SUM(M75:R76)</f>
        <v>285451</v>
      </c>
      <c r="U75" s="339"/>
      <c r="V75" s="339">
        <f>K75-T75</f>
        <v>496511</v>
      </c>
      <c r="W75" s="294"/>
      <c r="X75" s="344" t="s">
        <v>839</v>
      </c>
    </row>
    <row r="76" spans="2:24" ht="12.75">
      <c r="B76" s="335"/>
      <c r="C76" s="339"/>
      <c r="D76" s="339"/>
      <c r="E76" s="337">
        <v>0</v>
      </c>
      <c r="F76" s="353"/>
      <c r="G76" s="353"/>
      <c r="H76" s="353"/>
      <c r="I76" s="353"/>
      <c r="J76" s="353"/>
      <c r="K76" s="346"/>
      <c r="L76" s="346"/>
      <c r="M76" s="346"/>
      <c r="N76" s="339"/>
      <c r="O76" s="346">
        <v>0</v>
      </c>
      <c r="P76" s="339"/>
      <c r="Q76" s="339"/>
      <c r="R76" s="339"/>
      <c r="S76" s="340"/>
      <c r="T76" s="339"/>
      <c r="U76" s="339"/>
      <c r="V76" s="339"/>
      <c r="W76" s="294"/>
      <c r="X76" s="344"/>
    </row>
    <row r="77" spans="2:24" ht="7.5" customHeight="1">
      <c r="B77" s="335"/>
      <c r="C77" s="339"/>
      <c r="D77" s="339"/>
      <c r="E77" s="337"/>
      <c r="F77" s="353"/>
      <c r="G77" s="353"/>
      <c r="H77" s="353"/>
      <c r="I77" s="353"/>
      <c r="J77" s="353"/>
      <c r="K77" s="346"/>
      <c r="L77" s="346"/>
      <c r="M77" s="346"/>
      <c r="N77" s="339"/>
      <c r="O77" s="346"/>
      <c r="P77" s="339"/>
      <c r="Q77" s="339"/>
      <c r="R77" s="339"/>
      <c r="S77" s="340"/>
      <c r="T77" s="339"/>
      <c r="U77" s="339"/>
      <c r="V77" s="339"/>
      <c r="W77" s="294"/>
      <c r="X77" s="345"/>
    </row>
    <row r="78" spans="2:24" ht="12.75">
      <c r="B78" s="335" t="s">
        <v>692</v>
      </c>
      <c r="C78" s="339">
        <v>1129773</v>
      </c>
      <c r="D78" s="339"/>
      <c r="E78" s="337">
        <v>5202</v>
      </c>
      <c r="F78" s="353"/>
      <c r="G78" s="353">
        <v>0</v>
      </c>
      <c r="H78" s="353"/>
      <c r="I78" s="353">
        <v>0</v>
      </c>
      <c r="J78" s="353"/>
      <c r="K78" s="346">
        <f>SUM(C78:I79)</f>
        <v>1064676</v>
      </c>
      <c r="L78" s="346"/>
      <c r="M78" s="346">
        <v>272039</v>
      </c>
      <c r="N78" s="339"/>
      <c r="O78" s="346">
        <v>70651</v>
      </c>
      <c r="P78" s="339"/>
      <c r="Q78" s="339"/>
      <c r="R78" s="339">
        <v>0</v>
      </c>
      <c r="S78" s="340"/>
      <c r="T78" s="339">
        <f>SUM(M78:R79)</f>
        <v>311092</v>
      </c>
      <c r="U78" s="339"/>
      <c r="V78" s="339">
        <f>K78-T78</f>
        <v>753584</v>
      </c>
      <c r="W78" s="294"/>
      <c r="X78" s="344" t="s">
        <v>839</v>
      </c>
    </row>
    <row r="79" spans="2:24" ht="12.75">
      <c r="B79" s="335"/>
      <c r="C79" s="339"/>
      <c r="D79" s="339"/>
      <c r="E79" s="337">
        <v>-70299</v>
      </c>
      <c r="F79" s="353"/>
      <c r="G79" s="353"/>
      <c r="H79" s="353"/>
      <c r="I79" s="353"/>
      <c r="J79" s="353"/>
      <c r="K79" s="346"/>
      <c r="L79" s="346"/>
      <c r="M79" s="346"/>
      <c r="N79" s="339"/>
      <c r="O79" s="346">
        <v>-31598</v>
      </c>
      <c r="P79" s="339"/>
      <c r="Q79" s="339"/>
      <c r="R79" s="339"/>
      <c r="S79" s="340"/>
      <c r="T79" s="339"/>
      <c r="U79" s="339"/>
      <c r="V79" s="339"/>
      <c r="W79" s="294"/>
      <c r="X79" s="345"/>
    </row>
    <row r="80" spans="2:24" ht="7.5" customHeight="1">
      <c r="B80" s="335"/>
      <c r="C80" s="339"/>
      <c r="D80" s="339"/>
      <c r="E80" s="337"/>
      <c r="F80" s="353"/>
      <c r="G80" s="353"/>
      <c r="H80" s="353"/>
      <c r="I80" s="353"/>
      <c r="J80" s="353"/>
      <c r="K80" s="346"/>
      <c r="L80" s="346"/>
      <c r="M80" s="346"/>
      <c r="N80" s="339"/>
      <c r="O80" s="346"/>
      <c r="P80" s="339"/>
      <c r="Q80" s="339"/>
      <c r="R80" s="339"/>
      <c r="S80" s="340"/>
      <c r="T80" s="339"/>
      <c r="U80" s="339"/>
      <c r="V80" s="339"/>
      <c r="W80" s="294"/>
      <c r="X80" s="345"/>
    </row>
    <row r="81" spans="2:24" ht="12.75">
      <c r="B81" s="335" t="s">
        <v>623</v>
      </c>
      <c r="C81" s="339">
        <v>132441</v>
      </c>
      <c r="D81" s="339"/>
      <c r="E81" s="337">
        <v>9645</v>
      </c>
      <c r="F81" s="353"/>
      <c r="G81" s="353">
        <v>0</v>
      </c>
      <c r="H81" s="353"/>
      <c r="I81" s="353">
        <v>0</v>
      </c>
      <c r="J81" s="353"/>
      <c r="K81" s="346">
        <f>SUM(C81:I82)</f>
        <v>136622</v>
      </c>
      <c r="L81" s="346"/>
      <c r="M81" s="346">
        <v>56340</v>
      </c>
      <c r="N81" s="339"/>
      <c r="O81" s="346">
        <v>11732</v>
      </c>
      <c r="P81" s="339"/>
      <c r="Q81" s="339"/>
      <c r="R81" s="339">
        <v>0</v>
      </c>
      <c r="S81" s="340"/>
      <c r="T81" s="339">
        <f>SUM(M81:R82)</f>
        <v>65726</v>
      </c>
      <c r="U81" s="339"/>
      <c r="V81" s="339">
        <f>K81-T81</f>
        <v>70896</v>
      </c>
      <c r="W81" s="294"/>
      <c r="X81" s="347">
        <v>10</v>
      </c>
    </row>
    <row r="82" spans="2:24" ht="12.75">
      <c r="B82" s="335"/>
      <c r="C82" s="339"/>
      <c r="D82" s="339"/>
      <c r="E82" s="337">
        <v>-5464</v>
      </c>
      <c r="F82" s="353"/>
      <c r="G82" s="353"/>
      <c r="H82" s="353"/>
      <c r="I82" s="353"/>
      <c r="J82" s="353"/>
      <c r="K82" s="346"/>
      <c r="L82" s="346"/>
      <c r="M82" s="346"/>
      <c r="N82" s="339"/>
      <c r="O82" s="346">
        <v>-2346</v>
      </c>
      <c r="P82" s="339"/>
      <c r="Q82" s="339"/>
      <c r="R82" s="339"/>
      <c r="S82" s="340"/>
      <c r="T82" s="339"/>
      <c r="U82" s="339"/>
      <c r="V82" s="339"/>
      <c r="W82" s="294"/>
      <c r="X82" s="347"/>
    </row>
    <row r="83" spans="2:24" ht="7.5" customHeight="1">
      <c r="B83" s="335"/>
      <c r="C83" s="339"/>
      <c r="D83" s="339"/>
      <c r="E83" s="337"/>
      <c r="F83" s="353"/>
      <c r="G83" s="353"/>
      <c r="H83" s="353"/>
      <c r="I83" s="353"/>
      <c r="J83" s="353"/>
      <c r="K83" s="346"/>
      <c r="L83" s="346"/>
      <c r="M83" s="346"/>
      <c r="N83" s="339"/>
      <c r="O83" s="346"/>
      <c r="P83" s="339"/>
      <c r="Q83" s="339"/>
      <c r="R83" s="339"/>
      <c r="S83" s="340"/>
      <c r="T83" s="339"/>
      <c r="U83" s="339"/>
      <c r="V83" s="339"/>
      <c r="W83" s="294"/>
      <c r="X83" s="347"/>
    </row>
    <row r="84" spans="2:24" ht="12.75">
      <c r="B84" s="335" t="s">
        <v>626</v>
      </c>
      <c r="C84" s="339">
        <v>738793</v>
      </c>
      <c r="D84" s="339"/>
      <c r="E84" s="337">
        <v>79828</v>
      </c>
      <c r="F84" s="353"/>
      <c r="G84" s="353">
        <v>0</v>
      </c>
      <c r="H84" s="353"/>
      <c r="I84" s="353">
        <v>0</v>
      </c>
      <c r="J84" s="353"/>
      <c r="K84" s="346">
        <f>SUM(C84:I85)</f>
        <v>767623</v>
      </c>
      <c r="L84" s="346"/>
      <c r="M84" s="346">
        <v>671084</v>
      </c>
      <c r="N84" s="339"/>
      <c r="O84" s="346">
        <v>33002</v>
      </c>
      <c r="P84" s="339"/>
      <c r="Q84" s="339"/>
      <c r="R84" s="339">
        <v>0</v>
      </c>
      <c r="S84" s="340"/>
      <c r="T84" s="339">
        <f>SUM(M84:R85)</f>
        <v>653119</v>
      </c>
      <c r="U84" s="339"/>
      <c r="V84" s="339">
        <f>K84-T84</f>
        <v>114504</v>
      </c>
      <c r="W84" s="294"/>
      <c r="X84" s="348">
        <v>20</v>
      </c>
    </row>
    <row r="85" spans="2:24" ht="12.75">
      <c r="B85" s="335"/>
      <c r="C85" s="339"/>
      <c r="D85" s="339"/>
      <c r="E85" s="337">
        <v>-50998</v>
      </c>
      <c r="F85" s="353"/>
      <c r="G85" s="353"/>
      <c r="H85" s="353"/>
      <c r="I85" s="353"/>
      <c r="J85" s="353"/>
      <c r="K85" s="346"/>
      <c r="L85" s="346"/>
      <c r="M85" s="346"/>
      <c r="N85" s="339"/>
      <c r="O85" s="346">
        <v>-50967</v>
      </c>
      <c r="P85" s="339"/>
      <c r="Q85" s="339"/>
      <c r="R85" s="339"/>
      <c r="S85" s="340"/>
      <c r="T85" s="339"/>
      <c r="U85" s="339"/>
      <c r="V85" s="339"/>
      <c r="W85" s="294"/>
      <c r="X85" s="348"/>
    </row>
    <row r="86" spans="2:24" ht="7.5" customHeight="1">
      <c r="B86" s="335"/>
      <c r="C86" s="339"/>
      <c r="D86" s="339"/>
      <c r="E86" s="337"/>
      <c r="F86" s="353"/>
      <c r="G86" s="353"/>
      <c r="H86" s="353"/>
      <c r="I86" s="353"/>
      <c r="J86" s="353"/>
      <c r="K86" s="346"/>
      <c r="L86" s="346"/>
      <c r="M86" s="346"/>
      <c r="N86" s="339"/>
      <c r="O86" s="346"/>
      <c r="P86" s="339"/>
      <c r="Q86" s="339"/>
      <c r="R86" s="339"/>
      <c r="S86" s="340"/>
      <c r="T86" s="339"/>
      <c r="U86" s="339"/>
      <c r="V86" s="339"/>
      <c r="W86" s="294"/>
      <c r="X86" s="348"/>
    </row>
    <row r="87" spans="2:24" ht="7.5" customHeight="1">
      <c r="B87" s="335"/>
      <c r="C87" s="339"/>
      <c r="D87" s="339"/>
      <c r="E87" s="337"/>
      <c r="F87" s="353"/>
      <c r="G87" s="353"/>
      <c r="H87" s="353"/>
      <c r="I87" s="353"/>
      <c r="J87" s="353"/>
      <c r="K87" s="346"/>
      <c r="L87" s="346"/>
      <c r="M87" s="346"/>
      <c r="N87" s="339"/>
      <c r="O87" s="346"/>
      <c r="P87" s="339"/>
      <c r="Q87" s="339"/>
      <c r="R87" s="339"/>
      <c r="S87" s="340"/>
      <c r="T87" s="339"/>
      <c r="U87" s="339"/>
      <c r="V87" s="339"/>
      <c r="W87" s="294"/>
      <c r="X87" s="345"/>
    </row>
    <row r="88" spans="2:24" ht="12.75">
      <c r="B88" s="335" t="s">
        <v>834</v>
      </c>
      <c r="C88" s="339">
        <v>530418</v>
      </c>
      <c r="D88" s="339"/>
      <c r="E88" s="337">
        <v>216502</v>
      </c>
      <c r="F88" s="353"/>
      <c r="G88" s="353">
        <v>0</v>
      </c>
      <c r="H88" s="353"/>
      <c r="I88" s="353">
        <v>0</v>
      </c>
      <c r="J88" s="353"/>
      <c r="K88" s="346">
        <f>SUM(C88:I90)</f>
        <v>694468</v>
      </c>
      <c r="L88" s="346"/>
      <c r="M88" s="346">
        <v>487331</v>
      </c>
      <c r="N88" s="339"/>
      <c r="O88" s="346">
        <v>111867</v>
      </c>
      <c r="P88" s="339"/>
      <c r="Q88" s="339"/>
      <c r="R88" s="339">
        <v>0</v>
      </c>
      <c r="S88" s="340"/>
      <c r="T88" s="339">
        <f>SUM(M88:R89)</f>
        <v>598382</v>
      </c>
      <c r="U88" s="339"/>
      <c r="V88" s="339">
        <f>K88-T88</f>
        <v>96086</v>
      </c>
      <c r="W88" s="294"/>
      <c r="X88" s="344" t="s">
        <v>848</v>
      </c>
    </row>
    <row r="89" spans="2:24" ht="12.75">
      <c r="B89" s="335"/>
      <c r="C89" s="339"/>
      <c r="D89" s="339"/>
      <c r="E89" s="337">
        <v>-1258</v>
      </c>
      <c r="F89" s="353"/>
      <c r="G89" s="353"/>
      <c r="H89" s="353"/>
      <c r="I89" s="353"/>
      <c r="J89" s="353"/>
      <c r="K89" s="346"/>
      <c r="L89" s="346"/>
      <c r="M89" s="346"/>
      <c r="N89" s="339"/>
      <c r="O89" s="346">
        <v>-816</v>
      </c>
      <c r="P89" s="339"/>
      <c r="Q89" s="339"/>
      <c r="R89" s="339"/>
      <c r="S89" s="340"/>
      <c r="T89" s="339"/>
      <c r="U89" s="339"/>
      <c r="V89" s="339"/>
      <c r="W89" s="294"/>
      <c r="X89" s="345"/>
    </row>
    <row r="90" spans="2:24" ht="12.75">
      <c r="B90" s="335"/>
      <c r="C90" s="339"/>
      <c r="D90" s="339"/>
      <c r="E90" s="337">
        <v>-51194</v>
      </c>
      <c r="F90" s="353"/>
      <c r="G90" s="353"/>
      <c r="H90" s="353"/>
      <c r="I90" s="353"/>
      <c r="J90" s="353"/>
      <c r="K90" s="346"/>
      <c r="L90" s="346"/>
      <c r="M90" s="346"/>
      <c r="N90" s="339"/>
      <c r="O90" s="346">
        <v>0</v>
      </c>
      <c r="P90" s="339"/>
      <c r="Q90" s="339"/>
      <c r="R90" s="339"/>
      <c r="S90" s="340"/>
      <c r="T90" s="339"/>
      <c r="U90" s="339"/>
      <c r="V90" s="339"/>
      <c r="W90" s="294"/>
      <c r="X90" s="345"/>
    </row>
    <row r="91" spans="2:24" ht="7.5" customHeight="1">
      <c r="B91" s="335"/>
      <c r="C91" s="339"/>
      <c r="D91" s="339"/>
      <c r="E91" s="337"/>
      <c r="F91" s="353"/>
      <c r="G91" s="353"/>
      <c r="H91" s="353"/>
      <c r="I91" s="353"/>
      <c r="J91" s="353"/>
      <c r="K91" s="346"/>
      <c r="L91" s="346"/>
      <c r="M91" s="346"/>
      <c r="N91" s="339"/>
      <c r="O91" s="346"/>
      <c r="P91" s="339"/>
      <c r="Q91" s="339"/>
      <c r="R91" s="339"/>
      <c r="S91" s="340"/>
      <c r="T91" s="339"/>
      <c r="U91" s="339"/>
      <c r="V91" s="339"/>
      <c r="W91" s="294"/>
      <c r="X91" s="345"/>
    </row>
    <row r="92" spans="2:24" ht="12.75">
      <c r="B92" s="335" t="s">
        <v>627</v>
      </c>
      <c r="C92" s="339">
        <v>110011</v>
      </c>
      <c r="D92" s="339"/>
      <c r="E92" s="337">
        <v>16659</v>
      </c>
      <c r="F92" s="353"/>
      <c r="G92" s="353">
        <v>0</v>
      </c>
      <c r="H92" s="353"/>
      <c r="I92" s="353">
        <v>0</v>
      </c>
      <c r="J92" s="353"/>
      <c r="K92" s="346">
        <f>SUM(C92:I93)</f>
        <v>113411</v>
      </c>
      <c r="L92" s="346"/>
      <c r="M92" s="346">
        <v>50047</v>
      </c>
      <c r="N92" s="339"/>
      <c r="O92" s="346">
        <v>16001</v>
      </c>
      <c r="P92" s="339"/>
      <c r="Q92" s="339"/>
      <c r="R92" s="339">
        <v>0</v>
      </c>
      <c r="S92" s="340"/>
      <c r="T92" s="339">
        <f>SUM(M92:R93)</f>
        <v>58566</v>
      </c>
      <c r="U92" s="339"/>
      <c r="V92" s="339">
        <f>K92-T92</f>
        <v>54845</v>
      </c>
      <c r="W92" s="294"/>
      <c r="X92" s="344" t="s">
        <v>840</v>
      </c>
    </row>
    <row r="93" spans="2:24" ht="12.75">
      <c r="B93" s="335"/>
      <c r="C93" s="339"/>
      <c r="D93" s="339"/>
      <c r="E93" s="337">
        <v>-13259</v>
      </c>
      <c r="F93" s="353"/>
      <c r="G93" s="353"/>
      <c r="H93" s="353"/>
      <c r="I93" s="353"/>
      <c r="J93" s="353"/>
      <c r="K93" s="346"/>
      <c r="L93" s="346"/>
      <c r="M93" s="346"/>
      <c r="N93" s="339"/>
      <c r="O93" s="346">
        <v>-7482</v>
      </c>
      <c r="P93" s="339"/>
      <c r="Q93" s="339"/>
      <c r="R93" s="339"/>
      <c r="S93" s="340"/>
      <c r="T93" s="339"/>
      <c r="U93" s="339"/>
      <c r="V93" s="339"/>
      <c r="W93" s="294"/>
      <c r="X93" s="344"/>
    </row>
    <row r="94" spans="2:24" ht="7.5" customHeight="1">
      <c r="B94" s="335"/>
      <c r="C94" s="339"/>
      <c r="D94" s="339"/>
      <c r="E94" s="337"/>
      <c r="F94" s="353"/>
      <c r="G94" s="353"/>
      <c r="H94" s="353"/>
      <c r="I94" s="353"/>
      <c r="J94" s="353"/>
      <c r="K94" s="346"/>
      <c r="L94" s="346"/>
      <c r="M94" s="346"/>
      <c r="N94" s="339"/>
      <c r="O94" s="346"/>
      <c r="P94" s="339"/>
      <c r="Q94" s="339"/>
      <c r="R94" s="339"/>
      <c r="S94" s="340"/>
      <c r="T94" s="339"/>
      <c r="U94" s="339"/>
      <c r="V94" s="339"/>
      <c r="W94" s="294"/>
      <c r="X94" s="344"/>
    </row>
    <row r="95" spans="2:24" ht="12" customHeight="1">
      <c r="B95" s="335" t="s">
        <v>31</v>
      </c>
      <c r="C95" s="349">
        <v>726</v>
      </c>
      <c r="D95" s="339"/>
      <c r="E95" s="349">
        <v>0</v>
      </c>
      <c r="F95" s="353"/>
      <c r="G95" s="479"/>
      <c r="H95" s="353"/>
      <c r="I95" s="479"/>
      <c r="J95" s="353"/>
      <c r="K95" s="480">
        <f>SUM(C95:I95)</f>
        <v>726</v>
      </c>
      <c r="L95" s="346"/>
      <c r="M95" s="480">
        <v>726</v>
      </c>
      <c r="N95" s="339"/>
      <c r="O95" s="480">
        <v>0</v>
      </c>
      <c r="P95" s="339"/>
      <c r="Q95" s="339"/>
      <c r="R95" s="349"/>
      <c r="S95" s="340"/>
      <c r="T95" s="349">
        <f>SUM(M95:R95)</f>
        <v>726</v>
      </c>
      <c r="U95" s="339"/>
      <c r="V95" s="349">
        <f>K95-T95</f>
        <v>0</v>
      </c>
      <c r="W95" s="294"/>
      <c r="X95" s="353"/>
    </row>
    <row r="96" spans="2:24" ht="12.75">
      <c r="B96" s="335"/>
      <c r="C96" s="339">
        <f>SUM(C69:C95)</f>
        <v>9226906</v>
      </c>
      <c r="D96" s="339"/>
      <c r="E96" s="337">
        <f>E92+E88+E84+E81+E78+E75+E69</f>
        <v>349329</v>
      </c>
      <c r="F96" s="353"/>
      <c r="G96" s="353">
        <v>0</v>
      </c>
      <c r="H96" s="353"/>
      <c r="I96" s="353">
        <v>0</v>
      </c>
      <c r="J96" s="353"/>
      <c r="K96" s="346">
        <f>SUM(K69:K95)</f>
        <v>8990197</v>
      </c>
      <c r="L96" s="346"/>
      <c r="M96" s="346">
        <f>SUM(M69:M95)</f>
        <v>2116442</v>
      </c>
      <c r="N96" s="339"/>
      <c r="O96" s="346">
        <v>397312</v>
      </c>
      <c r="P96" s="339"/>
      <c r="Q96" s="339"/>
      <c r="R96" s="339">
        <v>0</v>
      </c>
      <c r="S96" s="340"/>
      <c r="T96" s="339">
        <f>SUM(T69:T95)</f>
        <v>2401538</v>
      </c>
      <c r="U96" s="339"/>
      <c r="V96" s="339">
        <f>SUM(V69:V95)</f>
        <v>6588659</v>
      </c>
      <c r="W96" s="294"/>
      <c r="X96" s="353"/>
    </row>
    <row r="97" spans="2:24" ht="12.75">
      <c r="B97" s="352"/>
      <c r="C97" s="339"/>
      <c r="D97" s="339"/>
      <c r="E97" s="337">
        <f>E93+E89+E85+E82+E79+E73</f>
        <v>-534844</v>
      </c>
      <c r="F97" s="353"/>
      <c r="G97" s="353"/>
      <c r="H97" s="353"/>
      <c r="I97" s="353"/>
      <c r="J97" s="353"/>
      <c r="K97" s="346"/>
      <c r="L97" s="346"/>
      <c r="M97" s="346"/>
      <c r="N97" s="339"/>
      <c r="O97" s="346">
        <f>O93+O89+O85+O82+O79+O73</f>
        <v>-112216</v>
      </c>
      <c r="P97" s="339"/>
      <c r="Q97" s="339"/>
      <c r="R97" s="339"/>
      <c r="S97" s="340"/>
      <c r="T97" s="339"/>
      <c r="U97" s="339"/>
      <c r="V97" s="339"/>
      <c r="W97" s="294"/>
      <c r="X97" s="353"/>
    </row>
    <row r="98" spans="2:24" ht="13.5" thickBot="1">
      <c r="B98" s="352"/>
      <c r="C98" s="355"/>
      <c r="D98" s="339"/>
      <c r="E98" s="355">
        <f>E90</f>
        <v>-51194</v>
      </c>
      <c r="F98" s="353"/>
      <c r="G98" s="420"/>
      <c r="H98" s="353"/>
      <c r="I98" s="420"/>
      <c r="J98" s="353"/>
      <c r="K98" s="363"/>
      <c r="L98" s="346"/>
      <c r="M98" s="363"/>
      <c r="N98" s="339"/>
      <c r="O98" s="363"/>
      <c r="P98" s="339"/>
      <c r="Q98" s="339"/>
      <c r="R98" s="355"/>
      <c r="S98" s="340"/>
      <c r="T98" s="355"/>
      <c r="U98" s="339"/>
      <c r="V98" s="355"/>
      <c r="W98" s="294"/>
      <c r="X98" s="353"/>
    </row>
    <row r="99" spans="2:24" ht="13.5" thickTop="1">
      <c r="B99" s="352"/>
      <c r="C99" s="339"/>
      <c r="D99" s="339"/>
      <c r="E99" s="337"/>
      <c r="F99" s="353"/>
      <c r="G99" s="353"/>
      <c r="H99" s="353"/>
      <c r="I99" s="353"/>
      <c r="J99" s="353"/>
      <c r="K99" s="346"/>
      <c r="L99" s="346"/>
      <c r="M99" s="346"/>
      <c r="N99" s="339"/>
      <c r="O99" s="346"/>
      <c r="P99" s="339"/>
      <c r="Q99" s="339"/>
      <c r="R99" s="339"/>
      <c r="S99" s="340"/>
      <c r="T99" s="339"/>
      <c r="U99" s="339"/>
      <c r="V99" s="339"/>
      <c r="W99" s="294"/>
      <c r="X99" s="353"/>
    </row>
    <row r="100" ht="12.75">
      <c r="X100" s="295"/>
    </row>
    <row r="101" ht="12.75">
      <c r="X101" s="295"/>
    </row>
    <row r="102" ht="12.75">
      <c r="X102" s="295"/>
    </row>
    <row r="103" ht="12.75">
      <c r="X103" s="295"/>
    </row>
    <row r="104" ht="12.75">
      <c r="X104" s="295"/>
    </row>
    <row r="105" ht="12.75">
      <c r="X105" s="295"/>
    </row>
    <row r="106" ht="12.75">
      <c r="X106" s="295"/>
    </row>
    <row r="107" ht="12.75">
      <c r="X107" s="295"/>
    </row>
    <row r="108" ht="12.75">
      <c r="X108" s="295"/>
    </row>
    <row r="109" ht="12.75">
      <c r="X109" s="295"/>
    </row>
    <row r="110" ht="12.75">
      <c r="X110" s="295"/>
    </row>
    <row r="111" ht="12.75">
      <c r="X111" s="295"/>
    </row>
    <row r="112" ht="12.75">
      <c r="X112" s="295"/>
    </row>
    <row r="113" ht="12.75">
      <c r="X113" s="295"/>
    </row>
    <row r="114" ht="12.75">
      <c r="X114" s="295"/>
    </row>
    <row r="115" ht="12.75">
      <c r="X115" s="295"/>
    </row>
    <row r="116" ht="12.75">
      <c r="X116" s="295"/>
    </row>
    <row r="117" ht="12.75">
      <c r="X117" s="295"/>
    </row>
    <row r="118" ht="12.75">
      <c r="X118" s="295"/>
    </row>
    <row r="119" ht="12.75">
      <c r="X119" s="295"/>
    </row>
    <row r="120" ht="12.75">
      <c r="X120" s="295"/>
    </row>
    <row r="121" ht="12.75">
      <c r="X121" s="295"/>
    </row>
    <row r="122" ht="12.75">
      <c r="X122" s="295"/>
    </row>
    <row r="123" ht="12.75">
      <c r="X123" s="295"/>
    </row>
    <row r="124" ht="12.75">
      <c r="X124" s="295"/>
    </row>
    <row r="125" ht="12.75">
      <c r="X125" s="295"/>
    </row>
    <row r="126" ht="12.75">
      <c r="X126" s="295"/>
    </row>
    <row r="127" ht="12.75">
      <c r="X127" s="295"/>
    </row>
    <row r="128" ht="12.75">
      <c r="X128" s="295"/>
    </row>
    <row r="129" ht="12.75">
      <c r="X129" s="295"/>
    </row>
    <row r="130" ht="12.75">
      <c r="X130" s="295"/>
    </row>
    <row r="131" ht="12.75">
      <c r="X131" s="295"/>
    </row>
    <row r="132" ht="12.75">
      <c r="X132" s="295"/>
    </row>
    <row r="133" ht="12.75">
      <c r="X133" s="295"/>
    </row>
    <row r="134" ht="12.75">
      <c r="X134" s="295"/>
    </row>
    <row r="135" ht="12.75">
      <c r="X135" s="295"/>
    </row>
    <row r="136" ht="12.75">
      <c r="X136" s="295"/>
    </row>
    <row r="137" ht="12.75">
      <c r="X137" s="295"/>
    </row>
    <row r="138" ht="12.75">
      <c r="X138" s="295"/>
    </row>
    <row r="139" ht="12.75">
      <c r="X139" s="295"/>
    </row>
    <row r="140" ht="12.75">
      <c r="X140" s="295"/>
    </row>
    <row r="141" ht="12.75">
      <c r="X141" s="295"/>
    </row>
    <row r="142" ht="12.75">
      <c r="X142" s="295"/>
    </row>
    <row r="143" ht="12.75">
      <c r="X143" s="295"/>
    </row>
    <row r="144" ht="12.75">
      <c r="X144" s="295"/>
    </row>
    <row r="145" ht="12.75">
      <c r="X145" s="295"/>
    </row>
    <row r="146" ht="12.75">
      <c r="X146" s="295"/>
    </row>
    <row r="147" ht="12.75">
      <c r="X147" s="295"/>
    </row>
    <row r="148" ht="12.75">
      <c r="X148" s="295"/>
    </row>
    <row r="149" ht="12.75">
      <c r="X149" s="295"/>
    </row>
    <row r="150" ht="12.75">
      <c r="X150" s="295"/>
    </row>
    <row r="151" ht="12.75">
      <c r="X151" s="295"/>
    </row>
    <row r="152" ht="12.75">
      <c r="X152" s="295"/>
    </row>
    <row r="153" ht="12.75">
      <c r="X153" s="295"/>
    </row>
    <row r="154" ht="12.75">
      <c r="X154" s="295"/>
    </row>
    <row r="155" ht="12.75">
      <c r="X155" s="295"/>
    </row>
    <row r="156" ht="12.75">
      <c r="X156" s="295"/>
    </row>
    <row r="157" ht="12.75">
      <c r="X157" s="295"/>
    </row>
    <row r="158" ht="12.75">
      <c r="X158" s="295"/>
    </row>
    <row r="159" ht="12.75">
      <c r="X159" s="295"/>
    </row>
    <row r="160" ht="12.75">
      <c r="X160" s="295"/>
    </row>
    <row r="161" ht="12.75">
      <c r="X161" s="295"/>
    </row>
    <row r="162" ht="12.75">
      <c r="X162" s="295"/>
    </row>
    <row r="163" ht="12.75">
      <c r="X163" s="295"/>
    </row>
    <row r="164" ht="12.75">
      <c r="X164" s="295"/>
    </row>
    <row r="165" ht="12.75">
      <c r="X165" s="295"/>
    </row>
    <row r="166" ht="12.75">
      <c r="X166" s="295"/>
    </row>
    <row r="167" ht="12.75">
      <c r="X167" s="295"/>
    </row>
    <row r="168" ht="12.75">
      <c r="X168" s="295"/>
    </row>
    <row r="169" ht="12.75">
      <c r="X169" s="295"/>
    </row>
    <row r="170" ht="12.75">
      <c r="X170" s="295"/>
    </row>
    <row r="171" ht="12.75">
      <c r="X171" s="295"/>
    </row>
    <row r="172" ht="12.75">
      <c r="X172" s="295"/>
    </row>
    <row r="173" ht="12.75">
      <c r="X173" s="295"/>
    </row>
    <row r="174" ht="12.75">
      <c r="X174" s="295"/>
    </row>
    <row r="175" ht="12.75">
      <c r="X175" s="295"/>
    </row>
    <row r="176" ht="12.75">
      <c r="X176" s="295"/>
    </row>
    <row r="177" ht="12.75">
      <c r="X177" s="295"/>
    </row>
    <row r="178" ht="12.75">
      <c r="X178" s="295"/>
    </row>
    <row r="179" ht="12.75">
      <c r="X179" s="295"/>
    </row>
    <row r="180" ht="12.75">
      <c r="X180" s="295"/>
    </row>
    <row r="181" ht="12.75">
      <c r="X181" s="295"/>
    </row>
    <row r="182" ht="12.75">
      <c r="X182" s="295"/>
    </row>
    <row r="183" ht="12.75">
      <c r="X183" s="295"/>
    </row>
    <row r="184" ht="12.75">
      <c r="X184" s="295"/>
    </row>
    <row r="185" ht="12.75">
      <c r="X185" s="295"/>
    </row>
    <row r="186" ht="12.75">
      <c r="X186" s="295"/>
    </row>
    <row r="187" ht="12.75">
      <c r="X187" s="295"/>
    </row>
    <row r="188" ht="12.75">
      <c r="X188" s="295"/>
    </row>
    <row r="189" ht="12.75">
      <c r="X189" s="295"/>
    </row>
    <row r="190" ht="12.75">
      <c r="X190" s="295"/>
    </row>
    <row r="191" ht="12.75">
      <c r="X191" s="295"/>
    </row>
    <row r="192" ht="12.75">
      <c r="X192" s="295"/>
    </row>
    <row r="193" ht="12.75">
      <c r="X193" s="295"/>
    </row>
    <row r="194" ht="12.75">
      <c r="X194" s="295"/>
    </row>
    <row r="195" ht="12.75">
      <c r="X195" s="295"/>
    </row>
    <row r="196" ht="12.75">
      <c r="X196" s="295"/>
    </row>
    <row r="197" ht="12.75">
      <c r="X197" s="295"/>
    </row>
    <row r="198" ht="12.75">
      <c r="X198" s="295"/>
    </row>
    <row r="199" ht="12.75">
      <c r="X199" s="295"/>
    </row>
    <row r="200" ht="12.75">
      <c r="X200" s="295"/>
    </row>
    <row r="201" ht="12.75">
      <c r="X201" s="295"/>
    </row>
    <row r="202" ht="12.75">
      <c r="X202" s="295"/>
    </row>
    <row r="203" ht="12.75">
      <c r="X203" s="295"/>
    </row>
    <row r="204" ht="12.75">
      <c r="X204" s="295"/>
    </row>
    <row r="205" ht="12.75">
      <c r="X205" s="295"/>
    </row>
    <row r="206" ht="12.75">
      <c r="X206" s="295"/>
    </row>
    <row r="207" ht="12.75">
      <c r="X207" s="295"/>
    </row>
    <row r="208" ht="12.75">
      <c r="X208" s="295"/>
    </row>
    <row r="209" ht="12.75">
      <c r="X209" s="295"/>
    </row>
    <row r="210" ht="12.75">
      <c r="X210" s="295"/>
    </row>
    <row r="211" ht="12.75">
      <c r="X211" s="295"/>
    </row>
    <row r="212" ht="12.75">
      <c r="X212" s="295"/>
    </row>
    <row r="213" ht="12.75">
      <c r="X213" s="295"/>
    </row>
    <row r="214" ht="12.75">
      <c r="X214" s="295"/>
    </row>
    <row r="215" ht="12.75">
      <c r="X215" s="295"/>
    </row>
    <row r="216" ht="12.75">
      <c r="X216" s="295"/>
    </row>
    <row r="217" ht="12.75">
      <c r="X217" s="295"/>
    </row>
    <row r="218" ht="12.75">
      <c r="X218" s="295"/>
    </row>
    <row r="219" ht="12.75">
      <c r="X219" s="295"/>
    </row>
    <row r="220" ht="12.75">
      <c r="X220" s="295"/>
    </row>
    <row r="221" ht="12.75">
      <c r="X221" s="295"/>
    </row>
    <row r="222" ht="12.75">
      <c r="X222" s="295"/>
    </row>
    <row r="223" ht="12.75">
      <c r="X223" s="295"/>
    </row>
    <row r="224" ht="12.75">
      <c r="X224" s="295"/>
    </row>
    <row r="225" ht="12.75">
      <c r="X225" s="295"/>
    </row>
    <row r="226" ht="12.75">
      <c r="X226" s="295"/>
    </row>
    <row r="227" ht="12.75">
      <c r="X227" s="295"/>
    </row>
    <row r="228" ht="12.75">
      <c r="X228" s="295"/>
    </row>
    <row r="229" ht="12.75">
      <c r="X229" s="295"/>
    </row>
    <row r="230" ht="12.75">
      <c r="X230" s="295"/>
    </row>
    <row r="231" ht="12.75">
      <c r="X231" s="295"/>
    </row>
    <row r="232" ht="12.75">
      <c r="X232" s="295"/>
    </row>
    <row r="233" ht="12.75">
      <c r="X233" s="295"/>
    </row>
    <row r="234" ht="12.75">
      <c r="X234" s="295"/>
    </row>
    <row r="235" ht="12.75">
      <c r="X235" s="295"/>
    </row>
    <row r="236" ht="12.75">
      <c r="X236" s="295"/>
    </row>
    <row r="237" ht="12.75">
      <c r="X237" s="295"/>
    </row>
    <row r="238" ht="12.75">
      <c r="X238" s="295"/>
    </row>
    <row r="239" ht="12.75">
      <c r="X239" s="295"/>
    </row>
    <row r="240" ht="12.75">
      <c r="X240" s="295"/>
    </row>
    <row r="241" ht="12.75">
      <c r="X241" s="295"/>
    </row>
    <row r="242" ht="12.75">
      <c r="X242" s="295"/>
    </row>
    <row r="243" ht="12.75">
      <c r="X243" s="295"/>
    </row>
    <row r="244" ht="12.75">
      <c r="X244" s="295"/>
    </row>
    <row r="245" ht="12.75">
      <c r="X245" s="295"/>
    </row>
    <row r="246" ht="12.75">
      <c r="X246" s="295"/>
    </row>
    <row r="247" ht="12.75">
      <c r="X247" s="295"/>
    </row>
    <row r="248" ht="12.75">
      <c r="X248" s="295"/>
    </row>
    <row r="249" ht="12.75">
      <c r="X249" s="295"/>
    </row>
    <row r="250" ht="12.75">
      <c r="X250" s="295"/>
    </row>
    <row r="251" ht="12.75">
      <c r="X251" s="295"/>
    </row>
    <row r="252" ht="12.75">
      <c r="X252" s="295"/>
    </row>
    <row r="253" ht="12.75">
      <c r="X253" s="295"/>
    </row>
    <row r="254" ht="12.75">
      <c r="X254" s="295"/>
    </row>
    <row r="255" ht="12.75">
      <c r="X255" s="295"/>
    </row>
    <row r="256" ht="12.75">
      <c r="X256" s="295"/>
    </row>
    <row r="257" ht="12.75">
      <c r="X257" s="295"/>
    </row>
    <row r="258" ht="12.75">
      <c r="X258" s="295"/>
    </row>
    <row r="259" ht="12.75">
      <c r="X259" s="295"/>
    </row>
    <row r="260" ht="12.75">
      <c r="X260" s="295"/>
    </row>
    <row r="261" ht="12.75">
      <c r="X261" s="295"/>
    </row>
    <row r="262" ht="12.75">
      <c r="X262" s="295"/>
    </row>
    <row r="263" ht="12.75">
      <c r="X263" s="295"/>
    </row>
    <row r="264" ht="12.75">
      <c r="X264" s="295"/>
    </row>
    <row r="265" ht="12.75">
      <c r="X265" s="295"/>
    </row>
    <row r="266" ht="12.75">
      <c r="X266" s="295"/>
    </row>
    <row r="267" ht="12.75">
      <c r="X267" s="295"/>
    </row>
    <row r="268" ht="12.75">
      <c r="X268" s="295"/>
    </row>
    <row r="269" ht="12.75">
      <c r="X269" s="295"/>
    </row>
    <row r="270" ht="12.75">
      <c r="X270" s="295"/>
    </row>
    <row r="271" ht="12.75">
      <c r="X271" s="295"/>
    </row>
    <row r="272" ht="12.75">
      <c r="X272" s="295"/>
    </row>
    <row r="273" ht="12.75">
      <c r="X273" s="295"/>
    </row>
    <row r="274" ht="12.75">
      <c r="X274" s="295"/>
    </row>
    <row r="275" ht="12.75">
      <c r="X275" s="295"/>
    </row>
    <row r="276" ht="12.75">
      <c r="X276" s="295"/>
    </row>
    <row r="277" ht="12.75">
      <c r="X277" s="295"/>
    </row>
    <row r="278" ht="12.75">
      <c r="X278" s="295"/>
    </row>
    <row r="279" ht="12.75">
      <c r="X279" s="295"/>
    </row>
    <row r="280" ht="12.75">
      <c r="X280" s="295"/>
    </row>
    <row r="281" ht="12.75">
      <c r="X281" s="295"/>
    </row>
    <row r="282" ht="12.75">
      <c r="X282" s="295"/>
    </row>
    <row r="283" ht="12.75">
      <c r="X283" s="295"/>
    </row>
    <row r="284" ht="12.75">
      <c r="X284" s="295"/>
    </row>
    <row r="285" ht="12.75">
      <c r="X285" s="295"/>
    </row>
    <row r="286" ht="12.75">
      <c r="X286" s="295"/>
    </row>
    <row r="287" ht="12.75">
      <c r="X287" s="295"/>
    </row>
    <row r="288" ht="12.75">
      <c r="X288" s="295"/>
    </row>
    <row r="289" ht="12.75">
      <c r="X289" s="295"/>
    </row>
    <row r="290" ht="12.75">
      <c r="X290" s="295"/>
    </row>
    <row r="291" ht="12.75">
      <c r="X291" s="295"/>
    </row>
    <row r="292" ht="12.75">
      <c r="X292" s="295"/>
    </row>
    <row r="293" ht="12.75">
      <c r="X293" s="295"/>
    </row>
    <row r="294" ht="12.75">
      <c r="X294" s="295"/>
    </row>
    <row r="295" ht="12.75">
      <c r="X295" s="295"/>
    </row>
    <row r="296" ht="12.75">
      <c r="X296" s="295"/>
    </row>
    <row r="297" ht="12.75">
      <c r="X297" s="295"/>
    </row>
    <row r="298" ht="12.75">
      <c r="X298" s="295"/>
    </row>
    <row r="299" ht="12.75">
      <c r="X299" s="295"/>
    </row>
    <row r="300" ht="12.75">
      <c r="X300" s="295"/>
    </row>
    <row r="301" ht="12.75">
      <c r="X301" s="295"/>
    </row>
    <row r="302" ht="12.75">
      <c r="X302" s="295"/>
    </row>
    <row r="303" ht="12.75">
      <c r="X303" s="295"/>
    </row>
    <row r="304" ht="12.75">
      <c r="X304" s="295"/>
    </row>
    <row r="305" ht="12.75">
      <c r="X305" s="295"/>
    </row>
    <row r="306" ht="12.75">
      <c r="X306" s="295"/>
    </row>
    <row r="307" ht="12.75">
      <c r="X307" s="295"/>
    </row>
    <row r="308" ht="12.75">
      <c r="X308" s="295"/>
    </row>
    <row r="309" ht="12.75">
      <c r="X309" s="295"/>
    </row>
    <row r="310" ht="12.75">
      <c r="X310" s="295"/>
    </row>
    <row r="311" ht="12.75">
      <c r="X311" s="295"/>
    </row>
    <row r="312" ht="12.75">
      <c r="X312" s="295"/>
    </row>
    <row r="313" ht="12.75">
      <c r="X313" s="295"/>
    </row>
    <row r="314" ht="12.75">
      <c r="X314" s="295"/>
    </row>
    <row r="315" ht="12.75">
      <c r="X315" s="295"/>
    </row>
    <row r="316" ht="12.75">
      <c r="X316" s="295"/>
    </row>
    <row r="317" ht="12.75">
      <c r="X317" s="295"/>
    </row>
    <row r="318" ht="12.75">
      <c r="X318" s="295"/>
    </row>
    <row r="319" ht="12.75">
      <c r="X319" s="295"/>
    </row>
    <row r="320" ht="12.75">
      <c r="X320" s="295"/>
    </row>
    <row r="321" ht="12.75">
      <c r="X321" s="295"/>
    </row>
    <row r="322" ht="12.75">
      <c r="X322" s="295"/>
    </row>
    <row r="323" ht="12.75">
      <c r="X323" s="295"/>
    </row>
    <row r="324" ht="12.75">
      <c r="X324" s="295"/>
    </row>
    <row r="325" ht="12.75">
      <c r="X325" s="295"/>
    </row>
    <row r="326" ht="12.75">
      <c r="X326" s="295"/>
    </row>
    <row r="327" ht="12.75">
      <c r="X327" s="295"/>
    </row>
    <row r="328" ht="12.75">
      <c r="X328" s="295"/>
    </row>
    <row r="329" ht="12.75">
      <c r="X329" s="295"/>
    </row>
    <row r="330" ht="12.75">
      <c r="X330" s="295"/>
    </row>
    <row r="331" ht="12.75">
      <c r="X331" s="295"/>
    </row>
    <row r="332" ht="12.75">
      <c r="X332" s="295"/>
    </row>
    <row r="333" ht="12.75">
      <c r="X333" s="295"/>
    </row>
    <row r="334" ht="12.75">
      <c r="X334" s="295"/>
    </row>
    <row r="335" ht="12.75">
      <c r="X335" s="295"/>
    </row>
    <row r="336" ht="12.75">
      <c r="X336" s="295"/>
    </row>
    <row r="337" ht="12.75">
      <c r="X337" s="295"/>
    </row>
    <row r="338" ht="12.75">
      <c r="X338" s="295"/>
    </row>
    <row r="339" ht="12.75">
      <c r="X339" s="295"/>
    </row>
    <row r="340" ht="12.75">
      <c r="X340" s="295"/>
    </row>
    <row r="341" ht="12.75">
      <c r="X341" s="295"/>
    </row>
    <row r="342" ht="12.75">
      <c r="X342" s="295"/>
    </row>
    <row r="343" ht="12.75">
      <c r="X343" s="295"/>
    </row>
    <row r="344" ht="12.75">
      <c r="X344" s="295"/>
    </row>
    <row r="345" ht="12.75">
      <c r="X345" s="295"/>
    </row>
    <row r="346" ht="12.75">
      <c r="X346" s="295"/>
    </row>
    <row r="347" ht="12.75">
      <c r="X347" s="295"/>
    </row>
    <row r="348" ht="12.75">
      <c r="X348" s="295"/>
    </row>
    <row r="349" ht="12.75">
      <c r="X349" s="295"/>
    </row>
    <row r="350" ht="12.75">
      <c r="X350" s="295"/>
    </row>
    <row r="351" ht="12.75">
      <c r="X351" s="295"/>
    </row>
    <row r="352" ht="12.75">
      <c r="X352" s="295"/>
    </row>
    <row r="353" ht="12.75">
      <c r="X353" s="295"/>
    </row>
    <row r="354" ht="12.75">
      <c r="X354" s="295"/>
    </row>
    <row r="355" ht="12.75">
      <c r="X355" s="295"/>
    </row>
    <row r="356" ht="12.75">
      <c r="X356" s="295"/>
    </row>
    <row r="357" ht="12.75">
      <c r="X357" s="295"/>
    </row>
    <row r="358" ht="12.75">
      <c r="X358" s="295"/>
    </row>
    <row r="359" ht="12.75">
      <c r="X359" s="295"/>
    </row>
    <row r="360" ht="12.75">
      <c r="X360" s="295"/>
    </row>
    <row r="361" ht="12.75">
      <c r="X361" s="295"/>
    </row>
    <row r="362" ht="12.75">
      <c r="X362" s="295"/>
    </row>
    <row r="363" ht="12.75">
      <c r="X363" s="295"/>
    </row>
    <row r="364" ht="12.75">
      <c r="X364" s="295"/>
    </row>
    <row r="365" ht="12.75">
      <c r="X365" s="295"/>
    </row>
    <row r="366" ht="12.75">
      <c r="X366" s="295"/>
    </row>
    <row r="367" ht="12.75">
      <c r="X367" s="295"/>
    </row>
    <row r="368" ht="12.75">
      <c r="X368" s="295"/>
    </row>
    <row r="369" ht="12.75">
      <c r="X369" s="295"/>
    </row>
    <row r="370" ht="12.75">
      <c r="X370" s="295"/>
    </row>
    <row r="371" ht="12.75">
      <c r="X371" s="295"/>
    </row>
    <row r="372" ht="12.75">
      <c r="X372" s="295"/>
    </row>
    <row r="373" ht="12.75">
      <c r="X373" s="295"/>
    </row>
    <row r="374" ht="12.75">
      <c r="X374" s="295"/>
    </row>
    <row r="375" ht="12.75">
      <c r="X375" s="295"/>
    </row>
    <row r="376" ht="12.75">
      <c r="X376" s="295"/>
    </row>
    <row r="377" ht="12.75">
      <c r="X377" s="295"/>
    </row>
    <row r="378" ht="12.75">
      <c r="X378" s="295"/>
    </row>
    <row r="379" ht="12.75">
      <c r="X379" s="295"/>
    </row>
    <row r="380" ht="12.75">
      <c r="X380" s="295"/>
    </row>
    <row r="381" ht="12.75">
      <c r="X381" s="295"/>
    </row>
    <row r="382" ht="12.75">
      <c r="X382" s="295"/>
    </row>
    <row r="383" ht="12.75">
      <c r="X383" s="295"/>
    </row>
    <row r="384" ht="12.75">
      <c r="X384" s="295"/>
    </row>
    <row r="385" ht="12.75">
      <c r="X385" s="295"/>
    </row>
    <row r="386" ht="12.75">
      <c r="X386" s="295"/>
    </row>
    <row r="387" ht="12.75">
      <c r="X387" s="295"/>
    </row>
    <row r="388" ht="12.75">
      <c r="X388" s="295"/>
    </row>
    <row r="389" ht="12.75">
      <c r="X389" s="295"/>
    </row>
    <row r="390" ht="12.75">
      <c r="X390" s="295"/>
    </row>
    <row r="391" ht="12.75">
      <c r="X391" s="295"/>
    </row>
    <row r="392" ht="12.75">
      <c r="X392" s="295"/>
    </row>
    <row r="393" ht="12.75">
      <c r="X393" s="295"/>
    </row>
    <row r="394" ht="12.75">
      <c r="X394" s="295"/>
    </row>
    <row r="395" ht="12.75">
      <c r="X395" s="295"/>
    </row>
    <row r="396" ht="12.75">
      <c r="X396" s="295"/>
    </row>
    <row r="397" ht="12.75">
      <c r="X397" s="295"/>
    </row>
    <row r="398" ht="12.75">
      <c r="X398" s="295"/>
    </row>
    <row r="399" ht="12.75">
      <c r="X399" s="295"/>
    </row>
    <row r="400" ht="12.75">
      <c r="X400" s="295"/>
    </row>
    <row r="401" ht="12.75">
      <c r="X401" s="295"/>
    </row>
    <row r="402" ht="12.75">
      <c r="X402" s="295"/>
    </row>
    <row r="403" ht="12.75">
      <c r="X403" s="295"/>
    </row>
    <row r="404" ht="12.75">
      <c r="X404" s="295"/>
    </row>
    <row r="405" ht="12.75">
      <c r="X405" s="295"/>
    </row>
    <row r="406" ht="12.75">
      <c r="X406" s="295"/>
    </row>
    <row r="407" ht="12.75">
      <c r="X407" s="295"/>
    </row>
    <row r="408" ht="12.75">
      <c r="X408" s="295"/>
    </row>
    <row r="409" ht="12.75">
      <c r="X409" s="295"/>
    </row>
    <row r="410" ht="12.75">
      <c r="X410" s="295"/>
    </row>
    <row r="411" ht="12.75">
      <c r="X411" s="295"/>
    </row>
    <row r="412" ht="12.75">
      <c r="X412" s="295"/>
    </row>
    <row r="413" ht="12.75">
      <c r="X413" s="295"/>
    </row>
    <row r="414" ht="12.75">
      <c r="X414" s="295"/>
    </row>
    <row r="415" ht="12.75">
      <c r="X415" s="295"/>
    </row>
    <row r="416" ht="12.75">
      <c r="X416" s="295"/>
    </row>
    <row r="417" ht="12.75">
      <c r="X417" s="295"/>
    </row>
    <row r="418" ht="12.75">
      <c r="X418" s="295"/>
    </row>
    <row r="419" ht="12.75">
      <c r="X419" s="295"/>
    </row>
    <row r="420" ht="12.75">
      <c r="X420" s="295"/>
    </row>
    <row r="421" ht="12.75">
      <c r="X421" s="295"/>
    </row>
    <row r="422" ht="12.75">
      <c r="X422" s="295"/>
    </row>
    <row r="423" ht="12.75">
      <c r="X423" s="295"/>
    </row>
    <row r="424" ht="12.75">
      <c r="X424" s="295"/>
    </row>
    <row r="425" ht="12.75">
      <c r="X425" s="295"/>
    </row>
    <row r="426" ht="12.75">
      <c r="X426" s="295"/>
    </row>
    <row r="427" ht="12.75">
      <c r="X427" s="295"/>
    </row>
    <row r="428" ht="12.75">
      <c r="X428" s="295"/>
    </row>
    <row r="429" ht="12.75">
      <c r="X429" s="295"/>
    </row>
    <row r="430" ht="12.75">
      <c r="X430" s="295"/>
    </row>
    <row r="431" ht="12.75">
      <c r="X431" s="295"/>
    </row>
    <row r="432" ht="12.75">
      <c r="X432" s="295"/>
    </row>
    <row r="433" ht="12.75">
      <c r="X433" s="295"/>
    </row>
    <row r="434" ht="12.75">
      <c r="X434" s="295"/>
    </row>
    <row r="435" ht="12.75">
      <c r="X435" s="295"/>
    </row>
    <row r="436" ht="12.75">
      <c r="X436" s="295"/>
    </row>
    <row r="437" ht="12.75">
      <c r="X437" s="295"/>
    </row>
    <row r="438" ht="12.75">
      <c r="X438" s="295"/>
    </row>
    <row r="439" ht="12.75">
      <c r="X439" s="295"/>
    </row>
    <row r="440" ht="12.75">
      <c r="X440" s="295"/>
    </row>
    <row r="441" ht="12.75">
      <c r="X441" s="295"/>
    </row>
    <row r="442" ht="12.75">
      <c r="X442" s="295"/>
    </row>
    <row r="443" ht="12.75">
      <c r="X443" s="295"/>
    </row>
    <row r="444" ht="12.75">
      <c r="X444" s="295"/>
    </row>
    <row r="445" ht="12.75">
      <c r="X445" s="295"/>
    </row>
    <row r="446" ht="12.75">
      <c r="X446" s="295"/>
    </row>
    <row r="447" ht="12.75">
      <c r="X447" s="295"/>
    </row>
    <row r="448" ht="12.75">
      <c r="X448" s="295"/>
    </row>
    <row r="449" ht="12.75">
      <c r="X449" s="295"/>
    </row>
    <row r="450" ht="12.75">
      <c r="X450" s="295"/>
    </row>
    <row r="451" ht="12.75">
      <c r="X451" s="295"/>
    </row>
    <row r="452" ht="12.75">
      <c r="X452" s="295"/>
    </row>
    <row r="453" ht="12.75">
      <c r="X453" s="295"/>
    </row>
    <row r="454" ht="12.75">
      <c r="X454" s="295"/>
    </row>
    <row r="455" ht="12.75">
      <c r="X455" s="295"/>
    </row>
    <row r="456" ht="12.75">
      <c r="X456" s="295"/>
    </row>
    <row r="457" ht="12.75">
      <c r="X457" s="295"/>
    </row>
    <row r="458" ht="12.75">
      <c r="X458" s="295"/>
    </row>
    <row r="459" ht="12.75">
      <c r="X459" s="295"/>
    </row>
    <row r="460" ht="12.75">
      <c r="X460" s="295"/>
    </row>
    <row r="461" ht="12.75">
      <c r="X461" s="295"/>
    </row>
    <row r="462" ht="12.75">
      <c r="X462" s="295"/>
    </row>
    <row r="463" ht="12.75">
      <c r="X463" s="295"/>
    </row>
    <row r="464" ht="12.75">
      <c r="X464" s="295"/>
    </row>
    <row r="465" ht="12.75">
      <c r="X465" s="295"/>
    </row>
    <row r="466" ht="12.75">
      <c r="X466" s="295"/>
    </row>
    <row r="467" ht="12.75">
      <c r="X467" s="295"/>
    </row>
    <row r="468" ht="12.75">
      <c r="X468" s="295"/>
    </row>
    <row r="469" ht="12.75">
      <c r="X469" s="295"/>
    </row>
    <row r="470" ht="12.75">
      <c r="X470" s="295"/>
    </row>
    <row r="471" ht="12.75">
      <c r="X471" s="295"/>
    </row>
    <row r="472" ht="12.75">
      <c r="X472" s="295"/>
    </row>
    <row r="473" ht="12.75">
      <c r="X473" s="295"/>
    </row>
    <row r="474" ht="12.75">
      <c r="X474" s="295"/>
    </row>
    <row r="475" ht="12.75">
      <c r="X475" s="295"/>
    </row>
    <row r="476" ht="12.75">
      <c r="X476" s="295"/>
    </row>
    <row r="477" ht="12.75">
      <c r="X477" s="295"/>
    </row>
    <row r="478" ht="12.75">
      <c r="X478" s="295"/>
    </row>
    <row r="479" ht="12.75">
      <c r="X479" s="295"/>
    </row>
    <row r="480" ht="12.75">
      <c r="X480" s="295"/>
    </row>
    <row r="481" ht="12.75">
      <c r="X481" s="295"/>
    </row>
    <row r="482" ht="12.75">
      <c r="X482" s="295"/>
    </row>
    <row r="483" ht="12.75">
      <c r="X483" s="295"/>
    </row>
    <row r="484" ht="12.75">
      <c r="X484" s="295"/>
    </row>
    <row r="485" ht="12.75">
      <c r="X485" s="295"/>
    </row>
    <row r="486" ht="12.75">
      <c r="X486" s="295"/>
    </row>
    <row r="487" ht="12.75">
      <c r="X487" s="295"/>
    </row>
    <row r="488" ht="12.75">
      <c r="X488" s="295"/>
    </row>
    <row r="489" ht="12.75">
      <c r="X489" s="295"/>
    </row>
    <row r="490" ht="12.75">
      <c r="X490" s="295"/>
    </row>
    <row r="491" ht="12.75">
      <c r="X491" s="295"/>
    </row>
    <row r="492" ht="12.75">
      <c r="X492" s="295"/>
    </row>
    <row r="493" ht="12.75">
      <c r="X493" s="295"/>
    </row>
    <row r="494" ht="12.75">
      <c r="X494" s="295"/>
    </row>
    <row r="495" ht="12.75">
      <c r="X495" s="295"/>
    </row>
    <row r="496" ht="12.75">
      <c r="X496" s="295"/>
    </row>
    <row r="497" ht="12.75">
      <c r="X497" s="295"/>
    </row>
    <row r="498" ht="12.75">
      <c r="X498" s="295"/>
    </row>
    <row r="499" ht="12.75">
      <c r="X499" s="295"/>
    </row>
    <row r="500" ht="12.75">
      <c r="X500" s="295"/>
    </row>
    <row r="501" ht="12.75">
      <c r="X501" s="295"/>
    </row>
    <row r="502" ht="12.75">
      <c r="X502" s="295"/>
    </row>
    <row r="503" ht="12.75">
      <c r="X503" s="295"/>
    </row>
    <row r="504" ht="12.75">
      <c r="X504" s="295"/>
    </row>
    <row r="505" ht="12.75">
      <c r="X505" s="295"/>
    </row>
    <row r="506" ht="12.75">
      <c r="X506" s="295"/>
    </row>
    <row r="507" ht="12.75">
      <c r="X507" s="295"/>
    </row>
    <row r="508" ht="12.75">
      <c r="X508" s="295"/>
    </row>
    <row r="509" ht="12.75">
      <c r="X509" s="295"/>
    </row>
    <row r="510" ht="12.75">
      <c r="X510" s="295"/>
    </row>
    <row r="511" ht="12.75">
      <c r="X511" s="295"/>
    </row>
    <row r="512" ht="12.75">
      <c r="X512" s="295"/>
    </row>
    <row r="513" ht="12.75">
      <c r="X513" s="295"/>
    </row>
    <row r="514" ht="12.75">
      <c r="X514" s="295"/>
    </row>
    <row r="515" ht="12.75">
      <c r="X515" s="295"/>
    </row>
    <row r="516" ht="12.75">
      <c r="X516" s="295"/>
    </row>
    <row r="517" ht="12.75">
      <c r="X517" s="295"/>
    </row>
    <row r="518" ht="12.75">
      <c r="X518" s="295"/>
    </row>
    <row r="519" ht="12.75">
      <c r="X519" s="295"/>
    </row>
    <row r="520" ht="12.75">
      <c r="X520" s="295"/>
    </row>
    <row r="521" ht="12.75">
      <c r="X521" s="295"/>
    </row>
    <row r="522" ht="12.75">
      <c r="X522" s="295"/>
    </row>
    <row r="523" ht="12.75">
      <c r="X523" s="295"/>
    </row>
    <row r="524" ht="12.75">
      <c r="X524" s="295"/>
    </row>
    <row r="525" ht="12.75">
      <c r="X525" s="295"/>
    </row>
    <row r="526" ht="12.75">
      <c r="X526" s="295"/>
    </row>
    <row r="527" ht="12.75">
      <c r="X527" s="295"/>
    </row>
    <row r="528" ht="12.75">
      <c r="X528" s="295"/>
    </row>
    <row r="529" ht="12.75">
      <c r="X529" s="295"/>
    </row>
    <row r="530" ht="12.75">
      <c r="X530" s="295"/>
    </row>
    <row r="531" ht="12.75">
      <c r="X531" s="295"/>
    </row>
    <row r="532" ht="12.75">
      <c r="X532" s="295"/>
    </row>
    <row r="533" ht="12.75">
      <c r="X533" s="295"/>
    </row>
    <row r="534" ht="12.75">
      <c r="X534" s="295"/>
    </row>
    <row r="535" ht="12.75">
      <c r="X535" s="295"/>
    </row>
    <row r="536" ht="12.75">
      <c r="X536" s="295"/>
    </row>
    <row r="537" ht="12.75">
      <c r="X537" s="295"/>
    </row>
    <row r="538" ht="12.75">
      <c r="X538" s="295"/>
    </row>
    <row r="539" ht="12.75">
      <c r="X539" s="295"/>
    </row>
    <row r="540" ht="12.75">
      <c r="X540" s="295"/>
    </row>
    <row r="541" ht="12.75">
      <c r="X541" s="295"/>
    </row>
    <row r="542" ht="12.75">
      <c r="X542" s="295"/>
    </row>
    <row r="543" ht="12.75">
      <c r="X543" s="295"/>
    </row>
    <row r="544" ht="12.75">
      <c r="X544" s="295"/>
    </row>
    <row r="545" ht="12.75">
      <c r="X545" s="295"/>
    </row>
    <row r="546" ht="12.75">
      <c r="X546" s="295"/>
    </row>
    <row r="547" ht="12.75">
      <c r="X547" s="295"/>
    </row>
    <row r="548" ht="12.75">
      <c r="X548" s="295"/>
    </row>
    <row r="549" ht="12.75">
      <c r="X549" s="295"/>
    </row>
    <row r="550" ht="12.75">
      <c r="X550" s="295"/>
    </row>
    <row r="551" ht="12.75">
      <c r="X551" s="295"/>
    </row>
    <row r="552" ht="12.75">
      <c r="X552" s="295"/>
    </row>
    <row r="553" ht="12.75">
      <c r="X553" s="295"/>
    </row>
    <row r="554" ht="12.75">
      <c r="X554" s="295"/>
    </row>
    <row r="555" ht="12.75">
      <c r="X555" s="295"/>
    </row>
    <row r="556" ht="12.75">
      <c r="X556" s="295"/>
    </row>
    <row r="557" ht="12.75">
      <c r="X557" s="295"/>
    </row>
    <row r="558" ht="12.75">
      <c r="X558" s="295"/>
    </row>
    <row r="559" ht="12.75">
      <c r="X559" s="295"/>
    </row>
    <row r="560" ht="12.75">
      <c r="X560" s="295"/>
    </row>
    <row r="561" ht="12.75">
      <c r="X561" s="295"/>
    </row>
    <row r="562" ht="12.75">
      <c r="X562" s="295"/>
    </row>
    <row r="563" ht="12.75">
      <c r="X563" s="295"/>
    </row>
    <row r="564" ht="12.75">
      <c r="X564" s="295"/>
    </row>
    <row r="565" ht="12.75">
      <c r="X565" s="295"/>
    </row>
    <row r="566" ht="12.75">
      <c r="X566" s="295"/>
    </row>
    <row r="567" ht="12.75">
      <c r="X567" s="295"/>
    </row>
    <row r="568" ht="12.75">
      <c r="X568" s="295"/>
    </row>
    <row r="569" ht="12.75">
      <c r="X569" s="295"/>
    </row>
    <row r="570" ht="12.75">
      <c r="X570" s="295"/>
    </row>
    <row r="571" ht="12.75">
      <c r="X571" s="295"/>
    </row>
    <row r="572" ht="12.75">
      <c r="X572" s="295"/>
    </row>
    <row r="573" ht="12.75">
      <c r="X573" s="295"/>
    </row>
    <row r="574" ht="12.75">
      <c r="X574" s="295"/>
    </row>
    <row r="575" ht="12.75">
      <c r="X575" s="295"/>
    </row>
    <row r="576" ht="12.75">
      <c r="X576" s="295"/>
    </row>
    <row r="577" ht="12.75">
      <c r="X577" s="295"/>
    </row>
    <row r="578" ht="12.75">
      <c r="X578" s="295"/>
    </row>
    <row r="579" ht="12.75">
      <c r="X579" s="295"/>
    </row>
    <row r="580" ht="12.75">
      <c r="X580" s="295"/>
    </row>
    <row r="581" ht="12.75">
      <c r="X581" s="295"/>
    </row>
    <row r="582" ht="12.75">
      <c r="X582" s="295"/>
    </row>
    <row r="583" ht="12.75">
      <c r="X583" s="295"/>
    </row>
    <row r="584" ht="12.75">
      <c r="X584" s="295"/>
    </row>
    <row r="585" ht="12.75">
      <c r="X585" s="295"/>
    </row>
    <row r="586" ht="12.75">
      <c r="X586" s="295"/>
    </row>
    <row r="587" ht="12.75">
      <c r="X587" s="295"/>
    </row>
    <row r="588" ht="12.75">
      <c r="X588" s="295"/>
    </row>
    <row r="589" ht="12.75">
      <c r="X589" s="295"/>
    </row>
    <row r="590" ht="12.75">
      <c r="X590" s="295"/>
    </row>
    <row r="591" ht="12.75">
      <c r="X591" s="295"/>
    </row>
    <row r="592" ht="12.75">
      <c r="X592" s="295"/>
    </row>
    <row r="593" ht="12.75">
      <c r="X593" s="295"/>
    </row>
    <row r="594" ht="12.75">
      <c r="X594" s="295"/>
    </row>
    <row r="595" ht="12.75">
      <c r="X595" s="295"/>
    </row>
    <row r="596" ht="12.75">
      <c r="X596" s="295"/>
    </row>
    <row r="597" ht="12.75">
      <c r="X597" s="295"/>
    </row>
    <row r="598" ht="12.75">
      <c r="X598" s="295"/>
    </row>
    <row r="599" ht="12.75">
      <c r="X599" s="295"/>
    </row>
    <row r="600" ht="12.75">
      <c r="X600" s="295"/>
    </row>
    <row r="601" ht="12.75">
      <c r="X601" s="295"/>
    </row>
    <row r="602" ht="12.75">
      <c r="X602" s="295"/>
    </row>
    <row r="603" ht="12.75">
      <c r="X603" s="295"/>
    </row>
    <row r="604" ht="12.75">
      <c r="X604" s="295"/>
    </row>
    <row r="605" ht="12.75">
      <c r="X605" s="295"/>
    </row>
    <row r="606" ht="12.75">
      <c r="X606" s="295"/>
    </row>
    <row r="607" ht="12.75">
      <c r="X607" s="295"/>
    </row>
    <row r="608" ht="12.75">
      <c r="X608" s="295"/>
    </row>
    <row r="609" ht="12.75">
      <c r="X609" s="295"/>
    </row>
    <row r="610" ht="12.75">
      <c r="X610" s="295"/>
    </row>
    <row r="611" ht="12.75">
      <c r="X611" s="295"/>
    </row>
    <row r="612" ht="12.75">
      <c r="X612" s="295"/>
    </row>
    <row r="613" ht="12.75">
      <c r="X613" s="295"/>
    </row>
    <row r="614" ht="12.75">
      <c r="X614" s="295"/>
    </row>
    <row r="615" ht="12.75">
      <c r="X615" s="295"/>
    </row>
    <row r="616" ht="12.75">
      <c r="X616" s="295"/>
    </row>
    <row r="617" ht="12.75">
      <c r="X617" s="295"/>
    </row>
    <row r="618" ht="12.75">
      <c r="X618" s="295"/>
    </row>
    <row r="619" ht="12.75">
      <c r="X619" s="295"/>
    </row>
    <row r="620" ht="12.75">
      <c r="X620" s="295"/>
    </row>
    <row r="621" ht="12.75">
      <c r="X621" s="295"/>
    </row>
    <row r="622" ht="12.75">
      <c r="X622" s="295"/>
    </row>
    <row r="623" ht="12.75">
      <c r="X623" s="295"/>
    </row>
    <row r="624" ht="12.75">
      <c r="X624" s="295"/>
    </row>
    <row r="625" ht="12.75">
      <c r="X625" s="295"/>
    </row>
    <row r="626" ht="12.75">
      <c r="X626" s="295"/>
    </row>
    <row r="627" ht="12.75">
      <c r="X627" s="295"/>
    </row>
    <row r="628" ht="12.75">
      <c r="X628" s="295"/>
    </row>
    <row r="629" ht="12.75">
      <c r="X629" s="295"/>
    </row>
    <row r="630" ht="12.75">
      <c r="X630" s="295"/>
    </row>
    <row r="631" ht="12.75">
      <c r="X631" s="295"/>
    </row>
    <row r="632" ht="12.75">
      <c r="X632" s="295"/>
    </row>
    <row r="633" ht="12.75">
      <c r="X633" s="295"/>
    </row>
    <row r="634" ht="12.75">
      <c r="X634" s="295"/>
    </row>
    <row r="635" ht="12.75">
      <c r="X635" s="295"/>
    </row>
    <row r="636" ht="12.75">
      <c r="X636" s="295"/>
    </row>
    <row r="637" ht="12.75">
      <c r="X637" s="295"/>
    </row>
    <row r="638" ht="12.75">
      <c r="X638" s="295"/>
    </row>
    <row r="639" ht="12.75">
      <c r="X639" s="295"/>
    </row>
    <row r="640" ht="12.75">
      <c r="X640" s="295"/>
    </row>
    <row r="641" ht="12.75">
      <c r="X641" s="295"/>
    </row>
    <row r="642" ht="12.75">
      <c r="X642" s="295"/>
    </row>
    <row r="643" ht="12.75">
      <c r="X643" s="295"/>
    </row>
    <row r="644" ht="12.75">
      <c r="X644" s="295"/>
    </row>
    <row r="645" ht="12.75">
      <c r="X645" s="295"/>
    </row>
    <row r="646" ht="12.75">
      <c r="X646" s="295"/>
    </row>
    <row r="647" ht="12.75">
      <c r="X647" s="295"/>
    </row>
    <row r="648" ht="12.75">
      <c r="X648" s="295"/>
    </row>
    <row r="649" ht="12.75">
      <c r="X649" s="295"/>
    </row>
    <row r="650" ht="12.75">
      <c r="X650" s="295"/>
    </row>
    <row r="651" ht="12.75">
      <c r="X651" s="295"/>
    </row>
    <row r="652" ht="12.75">
      <c r="X652" s="295"/>
    </row>
    <row r="653" ht="12.75">
      <c r="X653" s="295"/>
    </row>
    <row r="654" ht="12.75">
      <c r="X654" s="295"/>
    </row>
    <row r="655" ht="12.75">
      <c r="X655" s="295"/>
    </row>
    <row r="656" ht="12.75">
      <c r="X656" s="295"/>
    </row>
    <row r="657" ht="12.75">
      <c r="X657" s="295"/>
    </row>
    <row r="658" ht="12.75">
      <c r="X658" s="295"/>
    </row>
    <row r="659" ht="12.75">
      <c r="X659" s="295"/>
    </row>
    <row r="660" ht="12.75">
      <c r="X660" s="295"/>
    </row>
    <row r="661" ht="12.75">
      <c r="X661" s="295"/>
    </row>
    <row r="662" ht="12.75">
      <c r="X662" s="295"/>
    </row>
    <row r="663" ht="12.75">
      <c r="X663" s="295"/>
    </row>
    <row r="664" ht="12.75">
      <c r="X664" s="295"/>
    </row>
    <row r="665" ht="12.75">
      <c r="X665" s="295"/>
    </row>
    <row r="666" ht="12.75">
      <c r="X666" s="295"/>
    </row>
    <row r="667" ht="12.75">
      <c r="X667" s="295"/>
    </row>
    <row r="668" ht="12.75">
      <c r="X668" s="295"/>
    </row>
    <row r="669" ht="12.75">
      <c r="X669" s="295"/>
    </row>
    <row r="670" ht="12.75">
      <c r="X670" s="295"/>
    </row>
    <row r="671" ht="12.75">
      <c r="X671" s="295"/>
    </row>
    <row r="672" ht="12.75">
      <c r="X672" s="295"/>
    </row>
    <row r="673" ht="12.75">
      <c r="X673" s="295"/>
    </row>
    <row r="674" ht="12.75">
      <c r="X674" s="295"/>
    </row>
    <row r="675" ht="12.75">
      <c r="X675" s="295"/>
    </row>
    <row r="676" ht="12.75">
      <c r="X676" s="295"/>
    </row>
    <row r="677" ht="12.75">
      <c r="X677" s="295"/>
    </row>
    <row r="678" ht="12.75">
      <c r="X678" s="295"/>
    </row>
    <row r="679" ht="12.75">
      <c r="X679" s="295"/>
    </row>
    <row r="680" ht="12.75">
      <c r="X680" s="295"/>
    </row>
    <row r="681" ht="12.75">
      <c r="X681" s="295"/>
    </row>
    <row r="682" ht="12.75">
      <c r="X682" s="295"/>
    </row>
    <row r="683" ht="12.75">
      <c r="X683" s="295"/>
    </row>
    <row r="684" ht="12.75">
      <c r="X684" s="295"/>
    </row>
    <row r="685" ht="12.75">
      <c r="X685" s="295"/>
    </row>
    <row r="686" ht="12.75">
      <c r="X686" s="295"/>
    </row>
    <row r="687" ht="12.75">
      <c r="X687" s="295"/>
    </row>
    <row r="688" ht="12.75">
      <c r="X688" s="295"/>
    </row>
    <row r="689" ht="12.75">
      <c r="X689" s="295"/>
    </row>
    <row r="690" ht="12.75">
      <c r="X690" s="295"/>
    </row>
    <row r="691" ht="12.75">
      <c r="X691" s="295"/>
    </row>
    <row r="692" ht="12.75">
      <c r="X692" s="295"/>
    </row>
    <row r="693" ht="12.75">
      <c r="X693" s="295"/>
    </row>
    <row r="694" ht="12.75">
      <c r="X694" s="295"/>
    </row>
    <row r="695" ht="12.75">
      <c r="X695" s="295"/>
    </row>
    <row r="696" ht="12.75">
      <c r="X696" s="295"/>
    </row>
    <row r="697" ht="12.75">
      <c r="X697" s="295"/>
    </row>
    <row r="698" ht="12.75">
      <c r="X698" s="295"/>
    </row>
    <row r="699" ht="12.75">
      <c r="X699" s="295"/>
    </row>
    <row r="700" ht="12.75">
      <c r="X700" s="295"/>
    </row>
    <row r="701" ht="12.75">
      <c r="X701" s="295"/>
    </row>
    <row r="702" ht="12.75">
      <c r="X702" s="295"/>
    </row>
    <row r="703" ht="12.75">
      <c r="X703" s="295"/>
    </row>
    <row r="704" ht="12.75">
      <c r="X704" s="295"/>
    </row>
    <row r="705" ht="12.75">
      <c r="X705" s="295"/>
    </row>
    <row r="706" ht="12.75">
      <c r="X706" s="295"/>
    </row>
    <row r="707" ht="12.75">
      <c r="X707" s="295"/>
    </row>
    <row r="708" ht="12.75">
      <c r="X708" s="295"/>
    </row>
    <row r="709" ht="12.75">
      <c r="X709" s="295"/>
    </row>
    <row r="710" ht="12.75">
      <c r="X710" s="295"/>
    </row>
    <row r="711" ht="12.75">
      <c r="X711" s="295"/>
    </row>
    <row r="712" ht="12.75">
      <c r="X712" s="295"/>
    </row>
    <row r="713" ht="12.75">
      <c r="X713" s="295"/>
    </row>
    <row r="714" ht="12.75">
      <c r="X714" s="295"/>
    </row>
    <row r="715" ht="12.75">
      <c r="X715" s="295"/>
    </row>
    <row r="716" ht="12.75">
      <c r="X716" s="295"/>
    </row>
    <row r="717" ht="12.75">
      <c r="X717" s="295"/>
    </row>
    <row r="718" ht="12.75">
      <c r="X718" s="295"/>
    </row>
    <row r="719" ht="12.75">
      <c r="X719" s="295"/>
    </row>
    <row r="720" ht="12.75">
      <c r="X720" s="295"/>
    </row>
    <row r="721" ht="12.75">
      <c r="X721" s="295"/>
    </row>
    <row r="722" ht="12.75">
      <c r="X722" s="295"/>
    </row>
    <row r="723" ht="12.75">
      <c r="X723" s="295"/>
    </row>
    <row r="724" ht="12.75">
      <c r="X724" s="295"/>
    </row>
    <row r="725" ht="12.75">
      <c r="X725" s="295"/>
    </row>
    <row r="726" ht="12.75">
      <c r="X726" s="295"/>
    </row>
    <row r="727" ht="12.75">
      <c r="X727" s="295"/>
    </row>
    <row r="728" ht="12.75">
      <c r="X728" s="295"/>
    </row>
    <row r="729" ht="12.75">
      <c r="X729" s="295"/>
    </row>
    <row r="730" ht="12.75">
      <c r="X730" s="295"/>
    </row>
    <row r="731" ht="12.75">
      <c r="X731" s="295"/>
    </row>
    <row r="732" ht="12.75">
      <c r="X732" s="295"/>
    </row>
    <row r="733" ht="12.75">
      <c r="X733" s="295"/>
    </row>
    <row r="734" ht="12.75">
      <c r="X734" s="295"/>
    </row>
    <row r="735" ht="12.75">
      <c r="X735" s="295"/>
    </row>
    <row r="736" ht="12.75">
      <c r="X736" s="295"/>
    </row>
    <row r="737" ht="12.75">
      <c r="X737" s="295"/>
    </row>
    <row r="738" ht="12.75">
      <c r="X738" s="295"/>
    </row>
    <row r="739" ht="12.75">
      <c r="X739" s="295"/>
    </row>
    <row r="740" ht="12.75">
      <c r="X740" s="295"/>
    </row>
    <row r="741" ht="12.75">
      <c r="X741" s="295"/>
    </row>
    <row r="742" ht="12.75">
      <c r="X742" s="295"/>
    </row>
    <row r="743" ht="12.75">
      <c r="X743" s="295"/>
    </row>
    <row r="744" ht="12.75">
      <c r="X744" s="295"/>
    </row>
    <row r="745" ht="12.75">
      <c r="X745" s="295"/>
    </row>
    <row r="746" ht="12.75">
      <c r="X746" s="295"/>
    </row>
    <row r="747" ht="12.75">
      <c r="X747" s="295"/>
    </row>
    <row r="748" ht="12.75">
      <c r="X748" s="295"/>
    </row>
    <row r="749" ht="12.75">
      <c r="X749" s="295"/>
    </row>
    <row r="750" ht="12.75">
      <c r="X750" s="295"/>
    </row>
    <row r="751" ht="12.75">
      <c r="X751" s="295"/>
    </row>
    <row r="752" ht="12.75">
      <c r="X752" s="295"/>
    </row>
    <row r="753" ht="12.75">
      <c r="X753" s="295"/>
    </row>
    <row r="754" ht="12.75">
      <c r="X754" s="295"/>
    </row>
    <row r="755" ht="12.75">
      <c r="X755" s="295"/>
    </row>
    <row r="756" ht="12.75">
      <c r="X756" s="295"/>
    </row>
    <row r="757" ht="12.75">
      <c r="X757" s="295"/>
    </row>
    <row r="758" ht="12.75">
      <c r="X758" s="295"/>
    </row>
    <row r="759" ht="12.75">
      <c r="X759" s="295"/>
    </row>
    <row r="760" ht="12.75">
      <c r="X760" s="295"/>
    </row>
    <row r="761" ht="12.75">
      <c r="X761" s="295"/>
    </row>
    <row r="762" ht="12.75">
      <c r="X762" s="295"/>
    </row>
    <row r="763" ht="12.75">
      <c r="X763" s="295"/>
    </row>
    <row r="764" ht="12.75">
      <c r="X764" s="295"/>
    </row>
    <row r="765" ht="12.75">
      <c r="X765" s="295"/>
    </row>
    <row r="766" ht="12.75">
      <c r="X766" s="295"/>
    </row>
    <row r="767" ht="12.75">
      <c r="X767" s="295"/>
    </row>
    <row r="768" ht="12.75">
      <c r="X768" s="295"/>
    </row>
    <row r="769" ht="12.75">
      <c r="X769" s="295"/>
    </row>
    <row r="770" ht="12.75">
      <c r="X770" s="295"/>
    </row>
    <row r="771" ht="12.75">
      <c r="X771" s="295"/>
    </row>
    <row r="772" ht="12.75">
      <c r="X772" s="295"/>
    </row>
    <row r="773" ht="12.75">
      <c r="X773" s="295"/>
    </row>
    <row r="774" ht="12.75">
      <c r="X774" s="295"/>
    </row>
    <row r="775" ht="12.75">
      <c r="X775" s="295"/>
    </row>
    <row r="776" ht="12.75">
      <c r="X776" s="295"/>
    </row>
    <row r="777" ht="12.75">
      <c r="X777" s="295"/>
    </row>
    <row r="778" ht="12.75">
      <c r="X778" s="295"/>
    </row>
    <row r="779" ht="12.75">
      <c r="X779" s="295"/>
    </row>
    <row r="780" ht="12.75">
      <c r="X780" s="295"/>
    </row>
    <row r="781" ht="12.75">
      <c r="X781" s="295"/>
    </row>
    <row r="782" ht="12.75">
      <c r="X782" s="295"/>
    </row>
    <row r="783" ht="12.75">
      <c r="X783" s="295"/>
    </row>
    <row r="784" ht="12.75">
      <c r="X784" s="295"/>
    </row>
    <row r="785" ht="12.75">
      <c r="X785" s="295"/>
    </row>
    <row r="786" ht="12.75">
      <c r="X786" s="295"/>
    </row>
    <row r="787" ht="12.75">
      <c r="X787" s="295"/>
    </row>
    <row r="788" ht="12.75">
      <c r="X788" s="295"/>
    </row>
    <row r="789" ht="12.75">
      <c r="X789" s="295"/>
    </row>
    <row r="790" ht="12.75">
      <c r="X790" s="295"/>
    </row>
    <row r="791" ht="12.75">
      <c r="X791" s="295"/>
    </row>
    <row r="792" ht="12.75">
      <c r="X792" s="295"/>
    </row>
    <row r="793" ht="12.75">
      <c r="X793" s="295"/>
    </row>
    <row r="794" ht="12.75">
      <c r="X794" s="295"/>
    </row>
    <row r="795" ht="12.75">
      <c r="X795" s="295"/>
    </row>
    <row r="796" ht="12.75">
      <c r="X796" s="295"/>
    </row>
    <row r="797" ht="12.75">
      <c r="X797" s="295"/>
    </row>
    <row r="798" ht="12.75">
      <c r="X798" s="295"/>
    </row>
    <row r="799" ht="12.75">
      <c r="X799" s="295"/>
    </row>
    <row r="800" ht="12.75">
      <c r="X800" s="295"/>
    </row>
    <row r="801" ht="12.75">
      <c r="X801" s="295"/>
    </row>
    <row r="802" ht="12.75">
      <c r="X802" s="295"/>
    </row>
    <row r="803" ht="12.75">
      <c r="X803" s="295"/>
    </row>
    <row r="804" ht="12.75">
      <c r="X804" s="295"/>
    </row>
    <row r="805" ht="12.75">
      <c r="X805" s="295"/>
    </row>
    <row r="806" ht="12.75">
      <c r="X806" s="295"/>
    </row>
    <row r="807" ht="12.75">
      <c r="X807" s="295"/>
    </row>
    <row r="808" ht="12.75">
      <c r="X808" s="295"/>
    </row>
    <row r="809" ht="12.75">
      <c r="X809" s="295"/>
    </row>
    <row r="810" ht="12.75">
      <c r="X810" s="295"/>
    </row>
    <row r="811" ht="12.75">
      <c r="X811" s="295"/>
    </row>
    <row r="812" ht="12.75">
      <c r="X812" s="295"/>
    </row>
    <row r="813" ht="12.75">
      <c r="X813" s="295"/>
    </row>
    <row r="814" ht="12.75">
      <c r="X814" s="295"/>
    </row>
    <row r="815" ht="12.75">
      <c r="X815" s="295"/>
    </row>
    <row r="816" ht="12.75">
      <c r="X816" s="295"/>
    </row>
    <row r="817" ht="12.75">
      <c r="X817" s="295"/>
    </row>
    <row r="818" ht="12.75">
      <c r="X818" s="295"/>
    </row>
    <row r="819" ht="12.75">
      <c r="X819" s="295"/>
    </row>
    <row r="820" ht="12.75">
      <c r="X820" s="295"/>
    </row>
    <row r="821" ht="12.75">
      <c r="X821" s="295"/>
    </row>
    <row r="822" ht="12.75">
      <c r="X822" s="295"/>
    </row>
    <row r="823" ht="12.75">
      <c r="X823" s="295"/>
    </row>
    <row r="824" ht="12.75">
      <c r="X824" s="295"/>
    </row>
    <row r="825" ht="12.75">
      <c r="X825" s="295"/>
    </row>
    <row r="826" ht="12.75">
      <c r="X826" s="295"/>
    </row>
    <row r="827" ht="12.75">
      <c r="X827" s="295"/>
    </row>
    <row r="828" ht="12.75">
      <c r="X828" s="295"/>
    </row>
    <row r="829" ht="12.75">
      <c r="X829" s="295"/>
    </row>
    <row r="830" ht="12.75">
      <c r="X830" s="295"/>
    </row>
    <row r="831" ht="12.75">
      <c r="X831" s="295"/>
    </row>
    <row r="832" ht="12.75">
      <c r="X832" s="295"/>
    </row>
    <row r="833" ht="12.75">
      <c r="X833" s="295"/>
    </row>
    <row r="834" ht="12.75">
      <c r="X834" s="295"/>
    </row>
    <row r="835" ht="12.75">
      <c r="X835" s="295"/>
    </row>
    <row r="836" ht="12.75">
      <c r="X836" s="295"/>
    </row>
    <row r="837" ht="12.75">
      <c r="X837" s="295"/>
    </row>
    <row r="838" ht="12.75">
      <c r="X838" s="295"/>
    </row>
    <row r="839" ht="12.75">
      <c r="X839" s="295"/>
    </row>
    <row r="840" ht="12.75">
      <c r="X840" s="295"/>
    </row>
    <row r="841" ht="12.75">
      <c r="X841" s="295"/>
    </row>
    <row r="842" ht="12.75">
      <c r="X842" s="295"/>
    </row>
    <row r="843" ht="12.75">
      <c r="X843" s="295"/>
    </row>
    <row r="844" ht="12.75">
      <c r="X844" s="295"/>
    </row>
    <row r="845" ht="12.75">
      <c r="X845" s="295"/>
    </row>
    <row r="846" ht="12.75">
      <c r="X846" s="295"/>
    </row>
    <row r="847" ht="12.75">
      <c r="X847" s="295"/>
    </row>
    <row r="848" ht="12.75">
      <c r="X848" s="295"/>
    </row>
    <row r="849" ht="12.75">
      <c r="X849" s="295"/>
    </row>
    <row r="850" ht="12.75">
      <c r="X850" s="295"/>
    </row>
    <row r="851" ht="12.75">
      <c r="X851" s="295"/>
    </row>
    <row r="852" ht="12.75">
      <c r="X852" s="295"/>
    </row>
    <row r="853" ht="12.75">
      <c r="X853" s="295"/>
    </row>
    <row r="854" ht="12.75">
      <c r="X854" s="295"/>
    </row>
    <row r="855" ht="12.75">
      <c r="X855" s="295"/>
    </row>
    <row r="856" ht="12.75">
      <c r="X856" s="295"/>
    </row>
    <row r="857" ht="12.75">
      <c r="X857" s="295"/>
    </row>
    <row r="858" ht="12.75">
      <c r="X858" s="295"/>
    </row>
    <row r="859" ht="12.75">
      <c r="X859" s="295"/>
    </row>
    <row r="860" ht="12.75">
      <c r="X860" s="295"/>
    </row>
    <row r="861" ht="12.75">
      <c r="X861" s="295"/>
    </row>
    <row r="862" ht="12.75">
      <c r="X862" s="295"/>
    </row>
    <row r="863" ht="12.75">
      <c r="X863" s="295"/>
    </row>
    <row r="864" ht="12.75">
      <c r="X864" s="295"/>
    </row>
    <row r="865" ht="12.75">
      <c r="X865" s="295"/>
    </row>
    <row r="866" ht="12.75">
      <c r="X866" s="295"/>
    </row>
    <row r="867" ht="12.75">
      <c r="X867" s="295"/>
    </row>
    <row r="868" ht="12.75">
      <c r="X868" s="295"/>
    </row>
    <row r="869" ht="12.75">
      <c r="X869" s="295"/>
    </row>
    <row r="870" ht="12.75">
      <c r="X870" s="295"/>
    </row>
    <row r="871" ht="12.75">
      <c r="X871" s="295"/>
    </row>
    <row r="872" ht="12.75">
      <c r="X872" s="295"/>
    </row>
    <row r="873" ht="12.75">
      <c r="X873" s="295"/>
    </row>
    <row r="874" ht="12.75">
      <c r="X874" s="295"/>
    </row>
    <row r="875" ht="12.75">
      <c r="X875" s="295"/>
    </row>
    <row r="876" ht="12.75">
      <c r="X876" s="295"/>
    </row>
    <row r="877" ht="12.75">
      <c r="X877" s="295"/>
    </row>
    <row r="878" ht="12.75">
      <c r="X878" s="295"/>
    </row>
    <row r="879" ht="12.75">
      <c r="X879" s="295"/>
    </row>
    <row r="880" ht="12.75">
      <c r="X880" s="295"/>
    </row>
    <row r="881" ht="12.75">
      <c r="X881" s="295"/>
    </row>
    <row r="882" ht="12.75">
      <c r="X882" s="295"/>
    </row>
    <row r="883" ht="12.75">
      <c r="X883" s="295"/>
    </row>
    <row r="884" ht="12.75">
      <c r="X884" s="295"/>
    </row>
    <row r="885" ht="12.75">
      <c r="X885" s="295"/>
    </row>
    <row r="886" ht="12.75">
      <c r="X886" s="295"/>
    </row>
    <row r="887" ht="12.75">
      <c r="X887" s="295"/>
    </row>
    <row r="888" ht="12.75">
      <c r="X888" s="295"/>
    </row>
    <row r="889" ht="12.75">
      <c r="X889" s="295"/>
    </row>
    <row r="890" ht="12.75">
      <c r="X890" s="295"/>
    </row>
    <row r="891" ht="12.75">
      <c r="X891" s="295"/>
    </row>
    <row r="892" ht="12.75">
      <c r="X892" s="295"/>
    </row>
    <row r="893" ht="12.75">
      <c r="X893" s="295"/>
    </row>
    <row r="894" ht="12.75">
      <c r="X894" s="295"/>
    </row>
    <row r="895" ht="12.75">
      <c r="X895" s="295"/>
    </row>
    <row r="896" ht="12.75">
      <c r="X896" s="295"/>
    </row>
    <row r="897" ht="12.75">
      <c r="X897" s="295"/>
    </row>
    <row r="898" ht="12.75">
      <c r="X898" s="295"/>
    </row>
    <row r="899" ht="12.75">
      <c r="X899" s="295"/>
    </row>
    <row r="900" ht="12.75">
      <c r="X900" s="295"/>
    </row>
    <row r="901" ht="12.75">
      <c r="X901" s="295"/>
    </row>
    <row r="902" ht="12.75">
      <c r="X902" s="295"/>
    </row>
    <row r="903" ht="12.75">
      <c r="X903" s="295"/>
    </row>
    <row r="904" ht="12.75">
      <c r="X904" s="295"/>
    </row>
    <row r="905" ht="12.75">
      <c r="X905" s="295"/>
    </row>
    <row r="906" ht="12.75">
      <c r="X906" s="295"/>
    </row>
    <row r="907" ht="12.75">
      <c r="X907" s="295"/>
    </row>
    <row r="908" ht="12.75">
      <c r="X908" s="295"/>
    </row>
    <row r="909" ht="12.75">
      <c r="X909" s="295"/>
    </row>
    <row r="910" ht="12.75">
      <c r="X910" s="295"/>
    </row>
    <row r="911" ht="12.75">
      <c r="X911" s="295"/>
    </row>
    <row r="912" ht="12.75">
      <c r="X912" s="295"/>
    </row>
    <row r="913" ht="12.75">
      <c r="X913" s="295"/>
    </row>
    <row r="914" ht="12.75">
      <c r="X914" s="295"/>
    </row>
    <row r="915" ht="12.75">
      <c r="X915" s="295"/>
    </row>
    <row r="916" ht="12.75">
      <c r="X916" s="295"/>
    </row>
    <row r="917" ht="12.75">
      <c r="X917" s="295"/>
    </row>
    <row r="918" ht="12.75">
      <c r="X918" s="295"/>
    </row>
    <row r="919" ht="12.75">
      <c r="X919" s="295"/>
    </row>
    <row r="920" ht="12.75">
      <c r="X920" s="295"/>
    </row>
    <row r="921" ht="12.75">
      <c r="X921" s="295"/>
    </row>
    <row r="922" ht="12.75">
      <c r="X922" s="295"/>
    </row>
    <row r="923" ht="12.75">
      <c r="X923" s="295"/>
    </row>
    <row r="924" ht="12.75">
      <c r="X924" s="295"/>
    </row>
    <row r="925" ht="12.75">
      <c r="X925" s="295"/>
    </row>
    <row r="926" ht="12.75">
      <c r="X926" s="295"/>
    </row>
    <row r="927" ht="12.75">
      <c r="X927" s="295"/>
    </row>
    <row r="928" ht="12.75">
      <c r="X928" s="295"/>
    </row>
    <row r="929" ht="12.75">
      <c r="X929" s="295"/>
    </row>
    <row r="930" ht="12.75">
      <c r="X930" s="295"/>
    </row>
    <row r="931" ht="12.75">
      <c r="X931" s="295"/>
    </row>
    <row r="932" ht="12.75">
      <c r="X932" s="295"/>
    </row>
    <row r="933" ht="12.75">
      <c r="X933" s="295"/>
    </row>
    <row r="934" ht="12.75">
      <c r="X934" s="295"/>
    </row>
    <row r="935" ht="12.75">
      <c r="X935" s="295"/>
    </row>
    <row r="936" ht="12.75">
      <c r="X936" s="295"/>
    </row>
    <row r="937" ht="12.75">
      <c r="X937" s="295"/>
    </row>
    <row r="938" ht="12.75">
      <c r="X938" s="295"/>
    </row>
    <row r="939" ht="12.75">
      <c r="X939" s="295"/>
    </row>
    <row r="940" ht="12.75">
      <c r="X940" s="295"/>
    </row>
    <row r="941" ht="12.75">
      <c r="X941" s="295"/>
    </row>
    <row r="942" ht="12.75">
      <c r="X942" s="295"/>
    </row>
    <row r="943" ht="12.75">
      <c r="X943" s="295"/>
    </row>
    <row r="944" ht="12.75">
      <c r="X944" s="295"/>
    </row>
    <row r="945" ht="12.75">
      <c r="X945" s="295"/>
    </row>
    <row r="946" ht="12.75">
      <c r="X946" s="295"/>
    </row>
    <row r="947" ht="12.75">
      <c r="X947" s="295"/>
    </row>
    <row r="948" ht="12.75">
      <c r="X948" s="295"/>
    </row>
    <row r="949" ht="12.75">
      <c r="X949" s="295"/>
    </row>
    <row r="950" ht="12.75">
      <c r="X950" s="295"/>
    </row>
    <row r="951" ht="12.75">
      <c r="X951" s="295"/>
    </row>
    <row r="952" ht="12.75">
      <c r="X952" s="295"/>
    </row>
    <row r="953" ht="12.75">
      <c r="X953" s="295"/>
    </row>
    <row r="954" ht="12.75">
      <c r="X954" s="295"/>
    </row>
    <row r="955" ht="12.75">
      <c r="X955" s="295"/>
    </row>
    <row r="956" ht="12.75">
      <c r="X956" s="295"/>
    </row>
    <row r="957" ht="12.75">
      <c r="X957" s="295"/>
    </row>
    <row r="958" ht="12.75">
      <c r="X958" s="295"/>
    </row>
    <row r="959" ht="12.75">
      <c r="X959" s="295"/>
    </row>
    <row r="960" ht="12.75">
      <c r="X960" s="295"/>
    </row>
    <row r="961" ht="12.75">
      <c r="X961" s="295"/>
    </row>
    <row r="962" ht="12.75">
      <c r="X962" s="295"/>
    </row>
    <row r="963" ht="12.75">
      <c r="X963" s="295"/>
    </row>
    <row r="964" ht="12.75">
      <c r="X964" s="295"/>
    </row>
    <row r="965" ht="12.75">
      <c r="X965" s="295"/>
    </row>
    <row r="966" ht="12.75">
      <c r="X966" s="295"/>
    </row>
    <row r="967" ht="12.75">
      <c r="X967" s="295"/>
    </row>
    <row r="968" ht="12.75">
      <c r="X968" s="295"/>
    </row>
    <row r="969" ht="12.75">
      <c r="X969" s="295"/>
    </row>
    <row r="970" ht="12.75">
      <c r="X970" s="295"/>
    </row>
    <row r="971" ht="12.75">
      <c r="X971" s="295"/>
    </row>
    <row r="972" ht="12.75">
      <c r="X972" s="295"/>
    </row>
    <row r="973" ht="12.75">
      <c r="X973" s="295"/>
    </row>
    <row r="974" ht="12.75">
      <c r="X974" s="295"/>
    </row>
    <row r="975" ht="12.75">
      <c r="X975" s="295"/>
    </row>
    <row r="976" ht="12.75">
      <c r="X976" s="295"/>
    </row>
    <row r="977" ht="12.75">
      <c r="X977" s="295"/>
    </row>
    <row r="978" ht="12.75">
      <c r="X978" s="295"/>
    </row>
    <row r="979" ht="12.75">
      <c r="X979" s="295"/>
    </row>
    <row r="980" ht="12.75">
      <c r="X980" s="295"/>
    </row>
    <row r="981" ht="12.75">
      <c r="X981" s="295"/>
    </row>
    <row r="982" ht="12.75">
      <c r="X982" s="295"/>
    </row>
    <row r="983" ht="12.75">
      <c r="X983" s="295"/>
    </row>
    <row r="984" ht="12.75">
      <c r="X984" s="295"/>
    </row>
    <row r="985" ht="12.75">
      <c r="X985" s="295"/>
    </row>
    <row r="986" ht="12.75">
      <c r="X986" s="295"/>
    </row>
    <row r="987" ht="12.75">
      <c r="X987" s="295"/>
    </row>
    <row r="988" ht="12.75">
      <c r="X988" s="295"/>
    </row>
    <row r="989" ht="12.75">
      <c r="X989" s="295"/>
    </row>
    <row r="990" ht="12.75">
      <c r="X990" s="295"/>
    </row>
    <row r="991" ht="12.75">
      <c r="X991" s="295"/>
    </row>
    <row r="992" ht="12.75">
      <c r="X992" s="295"/>
    </row>
    <row r="993" ht="12.75">
      <c r="X993" s="295"/>
    </row>
    <row r="994" ht="12.75">
      <c r="X994" s="295"/>
    </row>
    <row r="995" ht="12.75">
      <c r="X995" s="295"/>
    </row>
    <row r="996" ht="12.75">
      <c r="X996" s="295"/>
    </row>
    <row r="997" ht="12.75">
      <c r="X997" s="295"/>
    </row>
    <row r="998" ht="12.75">
      <c r="X998" s="295"/>
    </row>
    <row r="999" ht="12.75">
      <c r="X999" s="295"/>
    </row>
    <row r="1000" ht="12.75">
      <c r="X1000" s="295"/>
    </row>
    <row r="1001" ht="12.75">
      <c r="X1001" s="295"/>
    </row>
    <row r="1002" ht="12.75">
      <c r="X1002" s="295"/>
    </row>
    <row r="1003" ht="12.75">
      <c r="X1003" s="295"/>
    </row>
    <row r="1004" ht="12.75">
      <c r="X1004" s="295"/>
    </row>
    <row r="1005" ht="12.75">
      <c r="X1005" s="295"/>
    </row>
    <row r="1006" ht="12.75">
      <c r="X1006" s="295"/>
    </row>
    <row r="1007" ht="12.75">
      <c r="X1007" s="295"/>
    </row>
    <row r="1008" ht="12.75">
      <c r="X1008" s="295"/>
    </row>
    <row r="1009" ht="12.75">
      <c r="X1009" s="295"/>
    </row>
    <row r="1010" ht="12.75">
      <c r="X1010" s="295"/>
    </row>
    <row r="1011" ht="12.75">
      <c r="X1011" s="295"/>
    </row>
    <row r="1012" ht="12.75">
      <c r="X1012" s="295"/>
    </row>
    <row r="1013" ht="12.75">
      <c r="X1013" s="295"/>
    </row>
    <row r="1014" ht="12.75">
      <c r="X1014" s="295"/>
    </row>
    <row r="1015" ht="12.75">
      <c r="X1015" s="295"/>
    </row>
    <row r="1016" ht="12.75">
      <c r="X1016" s="295"/>
    </row>
    <row r="1017" ht="12.75">
      <c r="X1017" s="295"/>
    </row>
    <row r="1018" ht="12.75">
      <c r="X1018" s="295"/>
    </row>
    <row r="1019" ht="12.75">
      <c r="X1019" s="295"/>
    </row>
    <row r="1020" ht="12.75">
      <c r="X1020" s="295"/>
    </row>
    <row r="1021" ht="12.75">
      <c r="X1021" s="295"/>
    </row>
    <row r="1022" ht="12.75">
      <c r="X1022" s="295"/>
    </row>
    <row r="1023" ht="12.75">
      <c r="X1023" s="295"/>
    </row>
    <row r="1024" ht="12.75">
      <c r="X1024" s="295"/>
    </row>
    <row r="1025" ht="12.75">
      <c r="X1025" s="295"/>
    </row>
    <row r="1026" ht="12.75">
      <c r="X1026" s="295"/>
    </row>
    <row r="1027" ht="12.75">
      <c r="X1027" s="295"/>
    </row>
    <row r="1028" ht="12.75">
      <c r="X1028" s="295"/>
    </row>
    <row r="1029" ht="12.75">
      <c r="X1029" s="295"/>
    </row>
    <row r="1030" ht="12.75">
      <c r="X1030" s="295"/>
    </row>
    <row r="1031" ht="12.75">
      <c r="X1031" s="295"/>
    </row>
    <row r="1032" ht="12.75">
      <c r="X1032" s="295"/>
    </row>
    <row r="1033" ht="12.75">
      <c r="X1033" s="295"/>
    </row>
    <row r="1034" ht="12.75">
      <c r="X1034" s="295"/>
    </row>
    <row r="1035" ht="12.75">
      <c r="X1035" s="295"/>
    </row>
    <row r="1036" ht="12.75">
      <c r="X1036" s="295"/>
    </row>
    <row r="1037" ht="12.75">
      <c r="X1037" s="295"/>
    </row>
    <row r="1038" ht="12.75">
      <c r="X1038" s="295"/>
    </row>
    <row r="1039" ht="12.75">
      <c r="X1039" s="295"/>
    </row>
    <row r="1040" ht="12.75">
      <c r="X1040" s="295"/>
    </row>
    <row r="1041" ht="12.75">
      <c r="X1041" s="295"/>
    </row>
    <row r="1042" ht="12.75">
      <c r="X1042" s="295"/>
    </row>
    <row r="1043" ht="12.75">
      <c r="X1043" s="295"/>
    </row>
    <row r="1044" ht="12.75">
      <c r="X1044" s="295"/>
    </row>
    <row r="1045" ht="12.75">
      <c r="X1045" s="295"/>
    </row>
    <row r="1046" ht="12.75">
      <c r="X1046" s="295"/>
    </row>
    <row r="1047" ht="12.75">
      <c r="X1047" s="295"/>
    </row>
    <row r="1048" ht="12.75">
      <c r="X1048" s="295"/>
    </row>
    <row r="1049" ht="12.75">
      <c r="X1049" s="295"/>
    </row>
    <row r="1050" ht="12.75">
      <c r="X1050" s="295"/>
    </row>
    <row r="1051" ht="12.75">
      <c r="X1051" s="295"/>
    </row>
    <row r="1052" ht="12.75">
      <c r="X1052" s="295"/>
    </row>
    <row r="1053" ht="12.75">
      <c r="X1053" s="295"/>
    </row>
    <row r="1054" ht="12.75">
      <c r="X1054" s="295"/>
    </row>
    <row r="1055" ht="12.75">
      <c r="X1055" s="295"/>
    </row>
    <row r="1056" ht="12.75">
      <c r="X1056" s="295"/>
    </row>
    <row r="1057" ht="12.75">
      <c r="X1057" s="295"/>
    </row>
    <row r="1058" ht="12.75">
      <c r="X1058" s="295"/>
    </row>
    <row r="1059" ht="12.75">
      <c r="X1059" s="295"/>
    </row>
    <row r="1060" ht="12.75">
      <c r="X1060" s="295"/>
    </row>
    <row r="1061" ht="12.75">
      <c r="X1061" s="295"/>
    </row>
    <row r="1062" ht="12.75">
      <c r="X1062" s="295"/>
    </row>
    <row r="1063" ht="12.75">
      <c r="X1063" s="295"/>
    </row>
    <row r="1064" ht="12.75">
      <c r="X1064" s="295"/>
    </row>
    <row r="1065" ht="12.75">
      <c r="X1065" s="295"/>
    </row>
    <row r="1066" ht="12.75">
      <c r="X1066" s="295"/>
    </row>
    <row r="1067" ht="12.75">
      <c r="X1067" s="295"/>
    </row>
    <row r="1068" ht="12.75">
      <c r="X1068" s="295"/>
    </row>
    <row r="1069" ht="12.75">
      <c r="X1069" s="295"/>
    </row>
    <row r="1070" ht="12.75">
      <c r="X1070" s="295"/>
    </row>
    <row r="1071" ht="12.75">
      <c r="X1071" s="295"/>
    </row>
    <row r="1072" ht="12.75">
      <c r="X1072" s="295"/>
    </row>
    <row r="1073" ht="12.75">
      <c r="X1073" s="295"/>
    </row>
    <row r="1074" ht="12.75">
      <c r="X1074" s="295"/>
    </row>
    <row r="1075" ht="12.75">
      <c r="X1075" s="295"/>
    </row>
    <row r="1076" ht="12.75">
      <c r="X1076" s="295"/>
    </row>
    <row r="1077" ht="12.75">
      <c r="X1077" s="295"/>
    </row>
    <row r="1078" ht="12.75">
      <c r="X1078" s="295"/>
    </row>
    <row r="1079" ht="12.75">
      <c r="X1079" s="295"/>
    </row>
    <row r="1080" ht="12.75">
      <c r="X1080" s="295"/>
    </row>
    <row r="1081" ht="12.75">
      <c r="X1081" s="295"/>
    </row>
    <row r="1082" ht="12.75">
      <c r="X1082" s="295"/>
    </row>
    <row r="1083" ht="12.75">
      <c r="X1083" s="295"/>
    </row>
    <row r="1084" ht="12.75">
      <c r="X1084" s="295"/>
    </row>
    <row r="1085" ht="12.75">
      <c r="X1085" s="295"/>
    </row>
    <row r="1086" ht="12.75">
      <c r="X1086" s="295"/>
    </row>
    <row r="1087" ht="12.75">
      <c r="X1087" s="295"/>
    </row>
    <row r="1088" ht="12.75">
      <c r="X1088" s="295"/>
    </row>
    <row r="1089" ht="12.75">
      <c r="X1089" s="295"/>
    </row>
    <row r="1090" ht="12.75">
      <c r="X1090" s="295"/>
    </row>
    <row r="1091" ht="12.75">
      <c r="X1091" s="295"/>
    </row>
    <row r="1092" ht="12.75">
      <c r="X1092" s="295"/>
    </row>
    <row r="1093" ht="12.75">
      <c r="X1093" s="295"/>
    </row>
    <row r="1094" ht="12.75">
      <c r="X1094" s="295"/>
    </row>
    <row r="1095" ht="12.75">
      <c r="X1095" s="295"/>
    </row>
    <row r="1096" ht="12.75">
      <c r="X1096" s="295"/>
    </row>
    <row r="1097" ht="12.75">
      <c r="X1097" s="295"/>
    </row>
    <row r="1098" ht="12.75">
      <c r="X1098" s="295"/>
    </row>
    <row r="1099" ht="12.75">
      <c r="X1099" s="295"/>
    </row>
    <row r="1100" ht="12.75">
      <c r="X1100" s="295"/>
    </row>
    <row r="1101" ht="12.75">
      <c r="X1101" s="295"/>
    </row>
    <row r="1102" ht="12.75">
      <c r="X1102" s="295"/>
    </row>
    <row r="1103" ht="12.75">
      <c r="X1103" s="295"/>
    </row>
    <row r="1104" ht="12.75">
      <c r="X1104" s="295"/>
    </row>
    <row r="1105" ht="12.75">
      <c r="X1105" s="295"/>
    </row>
    <row r="1106" ht="12.75">
      <c r="X1106" s="295"/>
    </row>
    <row r="1107" ht="12.75">
      <c r="X1107" s="295"/>
    </row>
    <row r="1108" ht="12.75">
      <c r="X1108" s="295"/>
    </row>
    <row r="1109" ht="12.75">
      <c r="X1109" s="295"/>
    </row>
    <row r="1110" ht="12.75">
      <c r="X1110" s="295"/>
    </row>
    <row r="1111" ht="12.75">
      <c r="X1111" s="295"/>
    </row>
    <row r="1112" ht="12.75">
      <c r="X1112" s="295"/>
    </row>
    <row r="1113" ht="12.75">
      <c r="X1113" s="295"/>
    </row>
    <row r="1114" ht="12.75">
      <c r="X1114" s="295"/>
    </row>
    <row r="1115" ht="12.75">
      <c r="X1115" s="295"/>
    </row>
    <row r="1116" ht="12.75">
      <c r="X1116" s="295"/>
    </row>
    <row r="1117" ht="12.75">
      <c r="X1117" s="295"/>
    </row>
    <row r="1118" ht="12.75">
      <c r="X1118" s="295"/>
    </row>
    <row r="1119" ht="12.75">
      <c r="X1119" s="295"/>
    </row>
    <row r="1120" ht="12.75">
      <c r="X1120" s="295"/>
    </row>
    <row r="1121" ht="12.75">
      <c r="X1121" s="295"/>
    </row>
    <row r="1122" ht="12.75">
      <c r="X1122" s="295"/>
    </row>
    <row r="1123" ht="12.75">
      <c r="X1123" s="295"/>
    </row>
    <row r="1124" ht="12.75">
      <c r="X1124" s="295"/>
    </row>
    <row r="1125" ht="12.75">
      <c r="X1125" s="295"/>
    </row>
    <row r="1126" ht="12.75">
      <c r="X1126" s="295"/>
    </row>
    <row r="1127" ht="12.75">
      <c r="X1127" s="295"/>
    </row>
    <row r="1128" ht="12.75">
      <c r="X1128" s="295"/>
    </row>
    <row r="1129" ht="12.75">
      <c r="X1129" s="295"/>
    </row>
    <row r="1130" ht="12.75">
      <c r="X1130" s="295"/>
    </row>
    <row r="1131" ht="12.75">
      <c r="X1131" s="295"/>
    </row>
    <row r="1132" ht="12.75">
      <c r="X1132" s="295"/>
    </row>
    <row r="1133" ht="12.75">
      <c r="X1133" s="295"/>
    </row>
    <row r="1134" ht="12.75">
      <c r="X1134" s="295"/>
    </row>
    <row r="1135" ht="12.75">
      <c r="X1135" s="295"/>
    </row>
    <row r="1136" ht="12.75">
      <c r="X1136" s="295"/>
    </row>
    <row r="1137" ht="12.75">
      <c r="X1137" s="295"/>
    </row>
    <row r="1138" ht="12.75">
      <c r="X1138" s="295"/>
    </row>
    <row r="1139" ht="12.75">
      <c r="X1139" s="295"/>
    </row>
    <row r="1140" ht="12.75">
      <c r="X1140" s="295"/>
    </row>
    <row r="1141" ht="12.75">
      <c r="X1141" s="295"/>
    </row>
    <row r="1142" ht="12.75">
      <c r="X1142" s="295"/>
    </row>
    <row r="1143" ht="12.75">
      <c r="X1143" s="295"/>
    </row>
    <row r="1144" ht="12.75">
      <c r="X1144" s="295"/>
    </row>
    <row r="1145" ht="12.75">
      <c r="X1145" s="295"/>
    </row>
    <row r="1146" ht="12.75">
      <c r="X1146" s="295"/>
    </row>
    <row r="1147" ht="12.75">
      <c r="X1147" s="295"/>
    </row>
    <row r="1148" ht="12.75">
      <c r="X1148" s="295"/>
    </row>
    <row r="1149" ht="12.75">
      <c r="X1149" s="295"/>
    </row>
    <row r="1150" ht="12.75">
      <c r="X1150" s="295"/>
    </row>
    <row r="1151" ht="12.75">
      <c r="X1151" s="295"/>
    </row>
    <row r="1152" ht="12.75">
      <c r="X1152" s="295"/>
    </row>
    <row r="1153" ht="12.75">
      <c r="X1153" s="295"/>
    </row>
    <row r="1154" ht="12.75">
      <c r="X1154" s="295"/>
    </row>
    <row r="1155" ht="12.75">
      <c r="X1155" s="295"/>
    </row>
    <row r="1156" ht="12.75">
      <c r="X1156" s="295"/>
    </row>
    <row r="1157" ht="12.75">
      <c r="X1157" s="295"/>
    </row>
    <row r="1158" ht="12.75">
      <c r="X1158" s="295"/>
    </row>
    <row r="1159" ht="12.75">
      <c r="X1159" s="295"/>
    </row>
    <row r="1160" ht="12.75">
      <c r="X1160" s="295"/>
    </row>
    <row r="1161" ht="12.75">
      <c r="X1161" s="295"/>
    </row>
    <row r="1162" ht="12.75">
      <c r="X1162" s="295"/>
    </row>
    <row r="1163" ht="12.75">
      <c r="X1163" s="295"/>
    </row>
    <row r="1164" ht="12.75">
      <c r="X1164" s="295"/>
    </row>
    <row r="1165" ht="12.75">
      <c r="X1165" s="295"/>
    </row>
    <row r="1166" ht="12.75">
      <c r="X1166" s="295"/>
    </row>
    <row r="1167" ht="12.75">
      <c r="X1167" s="295"/>
    </row>
    <row r="1168" ht="12.75">
      <c r="X1168" s="295"/>
    </row>
    <row r="1169" ht="12.75">
      <c r="X1169" s="295"/>
    </row>
    <row r="1170" ht="12.75">
      <c r="X1170" s="295"/>
    </row>
    <row r="1171" ht="12.75">
      <c r="X1171" s="295"/>
    </row>
    <row r="1172" ht="12.75">
      <c r="X1172" s="295"/>
    </row>
    <row r="1173" ht="12.75">
      <c r="X1173" s="295"/>
    </row>
    <row r="1174" ht="12.75">
      <c r="X1174" s="295"/>
    </row>
    <row r="1175" ht="12.75">
      <c r="X1175" s="295"/>
    </row>
    <row r="1176" ht="12.75">
      <c r="X1176" s="295"/>
    </row>
    <row r="1177" ht="12.75">
      <c r="X1177" s="295"/>
    </row>
    <row r="1178" ht="12.75">
      <c r="X1178" s="295"/>
    </row>
    <row r="1179" ht="12.75">
      <c r="X1179" s="295"/>
    </row>
    <row r="1180" ht="12.75">
      <c r="X1180" s="295"/>
    </row>
    <row r="1181" ht="12.75">
      <c r="X1181" s="295"/>
    </row>
    <row r="1182" ht="12.75">
      <c r="X1182" s="295"/>
    </row>
    <row r="1183" ht="12.75">
      <c r="X1183" s="295"/>
    </row>
    <row r="1184" ht="12.75">
      <c r="X1184" s="295"/>
    </row>
    <row r="1185" ht="12.75">
      <c r="X1185" s="295"/>
    </row>
    <row r="1186" ht="12.75">
      <c r="X1186" s="295"/>
    </row>
    <row r="1187" ht="12.75">
      <c r="X1187" s="295"/>
    </row>
    <row r="1188" ht="12.75">
      <c r="X1188" s="295"/>
    </row>
    <row r="1189" ht="12.75">
      <c r="X1189" s="295"/>
    </row>
    <row r="1190" ht="12.75">
      <c r="X1190" s="295"/>
    </row>
    <row r="1191" ht="12.75">
      <c r="X1191" s="295"/>
    </row>
    <row r="1192" ht="12.75">
      <c r="X1192" s="295"/>
    </row>
    <row r="1193" ht="12.75">
      <c r="X1193" s="295"/>
    </row>
    <row r="1194" ht="12.75">
      <c r="X1194" s="295"/>
    </row>
    <row r="1195" ht="12.75">
      <c r="X1195" s="295"/>
    </row>
    <row r="1196" ht="12.75">
      <c r="X1196" s="295"/>
    </row>
    <row r="1197" ht="12.75">
      <c r="X1197" s="295"/>
    </row>
    <row r="1198" ht="12.75">
      <c r="X1198" s="295"/>
    </row>
    <row r="1199" ht="12.75">
      <c r="X1199" s="295"/>
    </row>
    <row r="1200" ht="12.75">
      <c r="X1200" s="295"/>
    </row>
    <row r="1201" ht="12.75">
      <c r="X1201" s="295"/>
    </row>
    <row r="1202" ht="12.75">
      <c r="X1202" s="295"/>
    </row>
    <row r="1203" ht="12.75">
      <c r="X1203" s="295"/>
    </row>
    <row r="1204" ht="12.75">
      <c r="X1204" s="295"/>
    </row>
    <row r="1205" ht="12.75">
      <c r="X1205" s="295"/>
    </row>
    <row r="1206" ht="12.75">
      <c r="X1206" s="295"/>
    </row>
    <row r="1207" ht="12.75">
      <c r="X1207" s="295"/>
    </row>
    <row r="1208" ht="12.75">
      <c r="X1208" s="295"/>
    </row>
    <row r="1209" ht="12.75">
      <c r="X1209" s="295"/>
    </row>
    <row r="1210" ht="12.75">
      <c r="X1210" s="295"/>
    </row>
    <row r="1211" ht="12.75">
      <c r="X1211" s="295"/>
    </row>
    <row r="1212" ht="12.75">
      <c r="X1212" s="295"/>
    </row>
    <row r="1213" ht="12.75">
      <c r="X1213" s="295"/>
    </row>
    <row r="1214" ht="12.75">
      <c r="X1214" s="295"/>
    </row>
    <row r="1215" ht="12.75">
      <c r="X1215" s="295"/>
    </row>
    <row r="1216" ht="12.75">
      <c r="X1216" s="295"/>
    </row>
    <row r="1217" ht="12.75">
      <c r="X1217" s="295"/>
    </row>
    <row r="1218" ht="12.75">
      <c r="X1218" s="295"/>
    </row>
    <row r="1219" ht="12.75">
      <c r="X1219" s="295"/>
    </row>
    <row r="1220" ht="12.75">
      <c r="X1220" s="295"/>
    </row>
    <row r="1221" ht="12.75">
      <c r="X1221" s="295"/>
    </row>
    <row r="1222" ht="12.75">
      <c r="X1222" s="295"/>
    </row>
    <row r="1223" ht="12.75">
      <c r="X1223" s="295"/>
    </row>
    <row r="1224" ht="12.75">
      <c r="X1224" s="295"/>
    </row>
    <row r="1225" ht="12.75">
      <c r="X1225" s="295"/>
    </row>
    <row r="1226" ht="12.75">
      <c r="X1226" s="295"/>
    </row>
    <row r="1227" ht="12.75">
      <c r="X1227" s="295"/>
    </row>
    <row r="1228" ht="12.75">
      <c r="X1228" s="295"/>
    </row>
    <row r="1229" ht="12.75">
      <c r="X1229" s="295"/>
    </row>
    <row r="1230" ht="12.75">
      <c r="X1230" s="295"/>
    </row>
    <row r="1231" ht="12.75">
      <c r="X1231" s="295"/>
    </row>
    <row r="1232" ht="12.75">
      <c r="X1232" s="295"/>
    </row>
    <row r="1233" ht="12.75">
      <c r="X1233" s="295"/>
    </row>
    <row r="1234" ht="12.75">
      <c r="X1234" s="295"/>
    </row>
    <row r="1235" ht="12.75">
      <c r="X1235" s="295"/>
    </row>
    <row r="1236" ht="12.75">
      <c r="X1236" s="295"/>
    </row>
    <row r="1237" ht="12.75">
      <c r="X1237" s="295"/>
    </row>
    <row r="1238" ht="12.75">
      <c r="X1238" s="295"/>
    </row>
    <row r="1239" ht="12.75">
      <c r="X1239" s="295"/>
    </row>
    <row r="1240" ht="12.75">
      <c r="X1240" s="295"/>
    </row>
    <row r="1241" ht="12.75">
      <c r="X1241" s="295"/>
    </row>
    <row r="1242" ht="12.75">
      <c r="X1242" s="295"/>
    </row>
    <row r="1243" ht="12.75">
      <c r="X1243" s="295"/>
    </row>
    <row r="1244" ht="12.75">
      <c r="X1244" s="295"/>
    </row>
    <row r="1245" ht="12.75">
      <c r="X1245" s="295"/>
    </row>
    <row r="1246" ht="12.75">
      <c r="X1246" s="295"/>
    </row>
    <row r="1247" ht="12.75">
      <c r="X1247" s="295"/>
    </row>
    <row r="1248" ht="12.75">
      <c r="X1248" s="295"/>
    </row>
    <row r="1249" ht="12.75">
      <c r="X1249" s="295"/>
    </row>
    <row r="1250" ht="12.75">
      <c r="X1250" s="295"/>
    </row>
    <row r="1251" ht="12.75">
      <c r="X1251" s="295"/>
    </row>
    <row r="1252" ht="12.75">
      <c r="X1252" s="295"/>
    </row>
    <row r="1253" ht="12.75">
      <c r="X1253" s="295"/>
    </row>
    <row r="1254" ht="12.75">
      <c r="X1254" s="295"/>
    </row>
    <row r="1255" ht="12.75">
      <c r="X1255" s="295"/>
    </row>
    <row r="1256" ht="12.75">
      <c r="X1256" s="295"/>
    </row>
    <row r="1257" ht="12.75">
      <c r="X1257" s="295"/>
    </row>
    <row r="1258" ht="12.75">
      <c r="X1258" s="295"/>
    </row>
    <row r="1259" ht="12.75">
      <c r="X1259" s="295"/>
    </row>
    <row r="1260" ht="12.75">
      <c r="X1260" s="295"/>
    </row>
    <row r="1261" ht="12.75">
      <c r="X1261" s="295"/>
    </row>
    <row r="1262" ht="12.75">
      <c r="X1262" s="295"/>
    </row>
    <row r="1263" ht="12.75">
      <c r="X1263" s="295"/>
    </row>
    <row r="1264" ht="12.75">
      <c r="X1264" s="295"/>
    </row>
    <row r="1265" ht="12.75">
      <c r="X1265" s="295"/>
    </row>
    <row r="1266" ht="12.75">
      <c r="X1266" s="295"/>
    </row>
    <row r="1267" ht="12.75">
      <c r="X1267" s="295"/>
    </row>
    <row r="1268" ht="12.75">
      <c r="X1268" s="295"/>
    </row>
    <row r="1269" ht="12.75">
      <c r="X1269" s="295"/>
    </row>
    <row r="1270" ht="12.75">
      <c r="X1270" s="295"/>
    </row>
    <row r="1271" ht="12.75">
      <c r="X1271" s="295"/>
    </row>
    <row r="1272" ht="12.75">
      <c r="X1272" s="295"/>
    </row>
    <row r="1273" ht="12.75">
      <c r="X1273" s="295"/>
    </row>
    <row r="1274" ht="12.75">
      <c r="X1274" s="295"/>
    </row>
    <row r="1275" ht="12.75">
      <c r="X1275" s="295"/>
    </row>
    <row r="1276" ht="12.75">
      <c r="X1276" s="295"/>
    </row>
    <row r="1277" ht="12.75">
      <c r="X1277" s="295"/>
    </row>
    <row r="1278" ht="12.75">
      <c r="X1278" s="295"/>
    </row>
    <row r="1279" ht="12.75">
      <c r="X1279" s="295"/>
    </row>
    <row r="1280" ht="12.75">
      <c r="X1280" s="295"/>
    </row>
    <row r="1281" ht="12.75">
      <c r="X1281" s="295"/>
    </row>
    <row r="1282" ht="12.75">
      <c r="X1282" s="295"/>
    </row>
    <row r="1283" ht="12.75">
      <c r="X1283" s="295"/>
    </row>
    <row r="1284" ht="12.75">
      <c r="X1284" s="295"/>
    </row>
    <row r="1285" ht="12.75">
      <c r="X1285" s="295"/>
    </row>
    <row r="1286" ht="12.75">
      <c r="X1286" s="295"/>
    </row>
    <row r="1287" ht="12.75">
      <c r="X1287" s="295"/>
    </row>
    <row r="1288" ht="12.75">
      <c r="X1288" s="295"/>
    </row>
    <row r="1289" ht="12.75">
      <c r="X1289" s="295"/>
    </row>
    <row r="1290" ht="12.75">
      <c r="X1290" s="295"/>
    </row>
    <row r="1291" ht="12.75">
      <c r="X1291" s="295"/>
    </row>
    <row r="1292" ht="12.75">
      <c r="X1292" s="295"/>
    </row>
    <row r="1293" ht="12.75">
      <c r="X1293" s="295"/>
    </row>
    <row r="1294" ht="12.75">
      <c r="X1294" s="295"/>
    </row>
    <row r="1295" ht="12.75">
      <c r="X1295" s="295"/>
    </row>
    <row r="1296" ht="12.75">
      <c r="X1296" s="295"/>
    </row>
    <row r="1297" ht="12.75">
      <c r="X1297" s="295"/>
    </row>
    <row r="1298" ht="12.75">
      <c r="X1298" s="295"/>
    </row>
    <row r="1299" ht="12.75">
      <c r="X1299" s="295"/>
    </row>
    <row r="1300" ht="12.75">
      <c r="X1300" s="295"/>
    </row>
    <row r="1301" ht="12.75">
      <c r="X1301" s="295"/>
    </row>
    <row r="1302" ht="12.75">
      <c r="X1302" s="295"/>
    </row>
    <row r="1303" ht="12.75">
      <c r="X1303" s="295"/>
    </row>
    <row r="1304" ht="12.75">
      <c r="X1304" s="295"/>
    </row>
    <row r="1305" ht="12.75">
      <c r="X1305" s="295"/>
    </row>
    <row r="1306" ht="12.75">
      <c r="X1306" s="295"/>
    </row>
    <row r="1307" ht="12.75">
      <c r="X1307" s="295"/>
    </row>
    <row r="1308" ht="12.75">
      <c r="X1308" s="295"/>
    </row>
    <row r="1309" ht="12.75">
      <c r="X1309" s="295"/>
    </row>
    <row r="1310" ht="12.75">
      <c r="X1310" s="295"/>
    </row>
    <row r="1311" ht="12.75">
      <c r="X1311" s="295"/>
    </row>
    <row r="1312" ht="12.75">
      <c r="X1312" s="295"/>
    </row>
    <row r="1313" ht="12.75">
      <c r="X1313" s="295"/>
    </row>
    <row r="1314" ht="12.75">
      <c r="X1314" s="295"/>
    </row>
    <row r="1315" ht="12.75">
      <c r="X1315" s="295"/>
    </row>
    <row r="1316" ht="12.75">
      <c r="X1316" s="295"/>
    </row>
    <row r="1317" ht="12.75">
      <c r="X1317" s="295"/>
    </row>
    <row r="1318" ht="12.75">
      <c r="X1318" s="295"/>
    </row>
    <row r="1319" ht="12.75">
      <c r="X1319" s="295"/>
    </row>
    <row r="1320" ht="12.75">
      <c r="X1320" s="295"/>
    </row>
    <row r="1321" ht="12.75">
      <c r="X1321" s="295"/>
    </row>
    <row r="1322" ht="12.75">
      <c r="X1322" s="295"/>
    </row>
    <row r="1323" ht="12.75">
      <c r="X1323" s="295"/>
    </row>
    <row r="1324" ht="12.75">
      <c r="X1324" s="295"/>
    </row>
    <row r="1325" ht="12.75">
      <c r="X1325" s="295"/>
    </row>
    <row r="1326" ht="12.75">
      <c r="X1326" s="295"/>
    </row>
    <row r="1327" ht="12.75">
      <c r="X1327" s="295"/>
    </row>
    <row r="1328" ht="12.75">
      <c r="X1328" s="295"/>
    </row>
    <row r="1329" ht="12.75">
      <c r="X1329" s="295"/>
    </row>
    <row r="1330" ht="12.75">
      <c r="X1330" s="295"/>
    </row>
    <row r="1331" ht="12.75">
      <c r="X1331" s="295"/>
    </row>
    <row r="1332" ht="12.75">
      <c r="X1332" s="295"/>
    </row>
    <row r="1333" ht="12.75">
      <c r="X1333" s="295"/>
    </row>
    <row r="1334" ht="12.75">
      <c r="X1334" s="295"/>
    </row>
    <row r="1335" ht="12.75">
      <c r="X1335" s="295"/>
    </row>
    <row r="1336" ht="12.75">
      <c r="X1336" s="295"/>
    </row>
    <row r="1337" ht="12.75">
      <c r="X1337" s="295"/>
    </row>
    <row r="1338" ht="12.75">
      <c r="X1338" s="295"/>
    </row>
    <row r="1339" ht="12.75">
      <c r="X1339" s="295"/>
    </row>
    <row r="1340" ht="12.75">
      <c r="X1340" s="295"/>
    </row>
    <row r="1341" ht="12.75">
      <c r="X1341" s="295"/>
    </row>
    <row r="1342" ht="12.75">
      <c r="X1342" s="295"/>
    </row>
    <row r="1343" ht="12.75">
      <c r="X1343" s="295"/>
    </row>
    <row r="1344" ht="12.75">
      <c r="X1344" s="295"/>
    </row>
    <row r="1345" ht="12.75">
      <c r="X1345" s="295"/>
    </row>
    <row r="1346" ht="12.75">
      <c r="X1346" s="295"/>
    </row>
    <row r="1347" ht="12.75">
      <c r="X1347" s="295"/>
    </row>
    <row r="1348" ht="12.75">
      <c r="X1348" s="295"/>
    </row>
    <row r="1349" ht="12.75">
      <c r="X1349" s="295"/>
    </row>
    <row r="1350" ht="12.75">
      <c r="X1350" s="295"/>
    </row>
    <row r="1351" ht="12.75">
      <c r="X1351" s="295"/>
    </row>
    <row r="1352" ht="12.75">
      <c r="X1352" s="295"/>
    </row>
    <row r="1353" ht="12.75">
      <c r="X1353" s="295"/>
    </row>
    <row r="1354" ht="12.75">
      <c r="X1354" s="295"/>
    </row>
    <row r="1355" ht="12.75">
      <c r="X1355" s="295"/>
    </row>
    <row r="1356" ht="12.75">
      <c r="X1356" s="295"/>
    </row>
    <row r="1357" ht="12.75">
      <c r="X1357" s="295"/>
    </row>
    <row r="1358" ht="12.75">
      <c r="X1358" s="295"/>
    </row>
    <row r="1359" ht="12.75">
      <c r="X1359" s="295"/>
    </row>
    <row r="1360" ht="12.75">
      <c r="X1360" s="295"/>
    </row>
    <row r="1361" ht="12.75">
      <c r="X1361" s="295"/>
    </row>
    <row r="1362" ht="12.75">
      <c r="X1362" s="295"/>
    </row>
    <row r="1363" ht="12.75">
      <c r="X1363" s="295"/>
    </row>
    <row r="1364" ht="12.75">
      <c r="X1364" s="295"/>
    </row>
    <row r="1365" ht="12.75">
      <c r="X1365" s="295"/>
    </row>
    <row r="1366" ht="12.75">
      <c r="X1366" s="295"/>
    </row>
    <row r="1367" ht="12.75">
      <c r="X1367" s="295"/>
    </row>
    <row r="1368" ht="12.75">
      <c r="X1368" s="295"/>
    </row>
    <row r="1369" ht="12.75">
      <c r="X1369" s="295"/>
    </row>
    <row r="1370" ht="12.75">
      <c r="X1370" s="295"/>
    </row>
    <row r="1371" ht="12.75">
      <c r="X1371" s="295"/>
    </row>
    <row r="1372" ht="12.75">
      <c r="X1372" s="295"/>
    </row>
    <row r="1373" ht="12.75">
      <c r="X1373" s="295"/>
    </row>
    <row r="1374" ht="12.75">
      <c r="X1374" s="295"/>
    </row>
    <row r="1375" ht="12.75">
      <c r="X1375" s="295"/>
    </row>
    <row r="1376" ht="12.75">
      <c r="X1376" s="295"/>
    </row>
    <row r="1377" ht="12.75">
      <c r="X1377" s="295"/>
    </row>
    <row r="1378" ht="12.75">
      <c r="X1378" s="295"/>
    </row>
    <row r="1379" ht="12.75">
      <c r="X1379" s="295"/>
    </row>
    <row r="1380" ht="12.75">
      <c r="X1380" s="295"/>
    </row>
    <row r="1381" ht="12.75">
      <c r="X1381" s="295"/>
    </row>
    <row r="1382" ht="12.75">
      <c r="X1382" s="295"/>
    </row>
    <row r="1383" ht="12.75">
      <c r="X1383" s="295"/>
    </row>
    <row r="1384" ht="12.75">
      <c r="X1384" s="295"/>
    </row>
    <row r="1385" ht="12.75">
      <c r="X1385" s="295"/>
    </row>
    <row r="1386" ht="12.75">
      <c r="X1386" s="295"/>
    </row>
    <row r="1387" ht="12.75">
      <c r="X1387" s="295"/>
    </row>
    <row r="1388" ht="12.75">
      <c r="X1388" s="295"/>
    </row>
    <row r="1389" ht="12.75">
      <c r="X1389" s="295"/>
    </row>
    <row r="1390" ht="12.75">
      <c r="X1390" s="295"/>
    </row>
    <row r="1391" ht="12.75">
      <c r="X1391" s="295"/>
    </row>
    <row r="1392" ht="12.75">
      <c r="X1392" s="295"/>
    </row>
    <row r="1393" ht="12.75">
      <c r="X1393" s="295"/>
    </row>
    <row r="1394" ht="12.75">
      <c r="X1394" s="295"/>
    </row>
    <row r="1395" ht="12.75">
      <c r="X1395" s="295"/>
    </row>
    <row r="1396" ht="12.75">
      <c r="X1396" s="295"/>
    </row>
    <row r="1397" ht="12.75">
      <c r="X1397" s="295"/>
    </row>
    <row r="1398" ht="12.75">
      <c r="X1398" s="295"/>
    </row>
    <row r="1399" ht="12.75">
      <c r="X1399" s="295"/>
    </row>
    <row r="1400" ht="12.75">
      <c r="X1400" s="295"/>
    </row>
    <row r="1401" ht="12.75">
      <c r="X1401" s="295"/>
    </row>
    <row r="1402" ht="12.75">
      <c r="X1402" s="295"/>
    </row>
    <row r="1403" ht="12.75">
      <c r="X1403" s="295"/>
    </row>
    <row r="1404" ht="12.75">
      <c r="X1404" s="295"/>
    </row>
    <row r="1405" ht="12.75">
      <c r="X1405" s="295"/>
    </row>
    <row r="1406" ht="12.75">
      <c r="X1406" s="295"/>
    </row>
    <row r="1407" ht="12.75">
      <c r="X1407" s="295"/>
    </row>
    <row r="1408" ht="12.75">
      <c r="X1408" s="295"/>
    </row>
    <row r="1409" ht="12.75">
      <c r="X1409" s="295"/>
    </row>
    <row r="1410" ht="12.75">
      <c r="X1410" s="295"/>
    </row>
    <row r="1411" ht="12.75">
      <c r="X1411" s="295"/>
    </row>
    <row r="1412" ht="12.75">
      <c r="X1412" s="295"/>
    </row>
    <row r="1413" ht="12.75">
      <c r="X1413" s="295"/>
    </row>
    <row r="1414" ht="12.75">
      <c r="X1414" s="295"/>
    </row>
    <row r="1415" ht="12.75">
      <c r="X1415" s="295"/>
    </row>
    <row r="1416" ht="12.75">
      <c r="X1416" s="295"/>
    </row>
    <row r="1417" ht="12.75">
      <c r="X1417" s="295"/>
    </row>
    <row r="1418" ht="12.75">
      <c r="X1418" s="295"/>
    </row>
    <row r="1419" ht="12.75">
      <c r="X1419" s="295"/>
    </row>
    <row r="1420" ht="12.75">
      <c r="X1420" s="295"/>
    </row>
    <row r="1421" ht="12.75">
      <c r="X1421" s="295"/>
    </row>
    <row r="1422" ht="12.75">
      <c r="X1422" s="295"/>
    </row>
    <row r="1423" ht="12.75">
      <c r="X1423" s="295"/>
    </row>
    <row r="1424" ht="12.75">
      <c r="X1424" s="295"/>
    </row>
    <row r="1425" ht="12.75">
      <c r="X1425" s="295"/>
    </row>
    <row r="1426" ht="12.75">
      <c r="X1426" s="295"/>
    </row>
    <row r="1427" ht="12.75">
      <c r="X1427" s="295"/>
    </row>
    <row r="1428" ht="12.75">
      <c r="X1428" s="295"/>
    </row>
    <row r="1429" ht="12.75">
      <c r="X1429" s="295"/>
    </row>
    <row r="1430" ht="12.75">
      <c r="X1430" s="295"/>
    </row>
    <row r="1431" ht="12.75">
      <c r="X1431" s="295"/>
    </row>
    <row r="1432" ht="12.75">
      <c r="X1432" s="295"/>
    </row>
    <row r="1433" ht="12.75">
      <c r="X1433" s="295"/>
    </row>
    <row r="1434" ht="12.75">
      <c r="X1434" s="295"/>
    </row>
    <row r="1435" ht="12.75">
      <c r="X1435" s="295"/>
    </row>
    <row r="1436" ht="12.75">
      <c r="X1436" s="295"/>
    </row>
  </sheetData>
  <mergeCells count="16">
    <mergeCell ref="R27:R28"/>
    <mergeCell ref="B27:B28"/>
    <mergeCell ref="G27:G28"/>
    <mergeCell ref="I27:I28"/>
    <mergeCell ref="O27:O28"/>
    <mergeCell ref="M27:M28"/>
    <mergeCell ref="C25:V25"/>
    <mergeCell ref="C67:V67"/>
    <mergeCell ref="X72:X73"/>
    <mergeCell ref="C27:C28"/>
    <mergeCell ref="E27:E28"/>
    <mergeCell ref="K27:K28"/>
    <mergeCell ref="T27:T28"/>
    <mergeCell ref="X34:X35"/>
    <mergeCell ref="X27:X28"/>
    <mergeCell ref="V27:V28"/>
  </mergeCells>
  <printOptions/>
  <pageMargins left="0.75" right="0.5" top="0.63" bottom="0.57" header="0.5" footer="0.5"/>
  <pageSetup fitToHeight="1" fitToWidth="1"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view="pageBreakPreview" zoomScaleSheetLayoutView="100" workbookViewId="0" topLeftCell="A1">
      <selection activeCell="B49" sqref="B49"/>
    </sheetView>
  </sheetViews>
  <sheetFormatPr defaultColWidth="9.140625" defaultRowHeight="15" customHeight="1"/>
  <cols>
    <col min="1" max="1" width="5.28125" style="2" customWidth="1"/>
    <col min="2" max="2" width="12.28125" style="2" customWidth="1"/>
    <col min="3" max="3" width="0.85546875" style="2" customWidth="1"/>
    <col min="4" max="4" width="9.140625" style="2" customWidth="1"/>
    <col min="5" max="5" width="0.85546875" style="2" customWidth="1"/>
    <col min="6" max="6" width="9.140625" style="2" customWidth="1"/>
    <col min="7" max="7" width="0.85546875" style="2" customWidth="1"/>
    <col min="8" max="8" width="9.140625" style="2" customWidth="1"/>
    <col min="9" max="9" width="0.85546875" style="2" customWidth="1"/>
    <col min="10" max="10" width="11.00390625" style="2" customWidth="1"/>
    <col min="11" max="11" width="0.85546875" style="2" customWidth="1"/>
    <col min="12" max="12" width="9.140625" style="2" customWidth="1"/>
    <col min="13" max="13" width="0.85546875" style="2" customWidth="1"/>
    <col min="14" max="14" width="11.00390625" style="2" customWidth="1"/>
    <col min="15" max="15" width="0.85546875" style="2" customWidth="1"/>
    <col min="16" max="16" width="12.7109375" style="2" customWidth="1"/>
    <col min="17" max="17" width="0.85546875" style="2" customWidth="1"/>
    <col min="18" max="18" width="12.7109375" style="2" customWidth="1"/>
    <col min="19" max="16384" width="9.140625" style="2" customWidth="1"/>
  </cols>
  <sheetData>
    <row r="1" spans="1:18" ht="15" customHeight="1">
      <c r="A1" s="110" t="s">
        <v>593</v>
      </c>
      <c r="B1" s="142" t="s">
        <v>3</v>
      </c>
      <c r="P1" s="21" t="s">
        <v>281</v>
      </c>
      <c r="Q1" s="295"/>
      <c r="R1" s="65" t="s">
        <v>403</v>
      </c>
    </row>
    <row r="2" spans="1:18" ht="15" customHeight="1">
      <c r="A2" s="104"/>
      <c r="B2" s="104"/>
      <c r="P2" s="292"/>
      <c r="Q2" s="23" t="s">
        <v>320</v>
      </c>
      <c r="R2" s="23"/>
    </row>
    <row r="3" spans="1:18" ht="12.75" customHeight="1">
      <c r="A3" s="9"/>
      <c r="B3" s="9"/>
      <c r="P3" s="23"/>
      <c r="Q3" s="295"/>
      <c r="R3" s="23"/>
    </row>
    <row r="4" spans="1:18" ht="15" customHeight="1">
      <c r="A4" s="104"/>
      <c r="B4" s="104" t="s">
        <v>377</v>
      </c>
      <c r="P4" s="206">
        <v>6194503</v>
      </c>
      <c r="Q4" s="295"/>
      <c r="R4" s="214">
        <v>6637328</v>
      </c>
    </row>
    <row r="5" spans="1:18" ht="15" customHeight="1">
      <c r="A5" s="104"/>
      <c r="B5" s="104" t="s">
        <v>497</v>
      </c>
      <c r="P5" s="417">
        <v>0</v>
      </c>
      <c r="Q5" s="295"/>
      <c r="R5" s="214">
        <v>-442825</v>
      </c>
    </row>
    <row r="6" spans="1:18" ht="15" customHeight="1">
      <c r="A6" s="104"/>
      <c r="B6" s="104" t="s">
        <v>434</v>
      </c>
      <c r="P6" s="206">
        <v>12552511</v>
      </c>
      <c r="Q6" s="295"/>
      <c r="R6" s="214">
        <v>0</v>
      </c>
    </row>
    <row r="7" spans="1:18" ht="15" customHeight="1" thickBot="1">
      <c r="A7" s="104"/>
      <c r="B7" s="104"/>
      <c r="P7" s="208">
        <f>SUM(P4:P6)</f>
        <v>18747014</v>
      </c>
      <c r="Q7" s="295"/>
      <c r="R7" s="215">
        <f>SUM(R4:R5)</f>
        <v>6194503</v>
      </c>
    </row>
    <row r="8" spans="1:2" ht="12.75" customHeight="1" thickTop="1">
      <c r="A8" s="104"/>
      <c r="B8" s="104"/>
    </row>
    <row r="9" spans="1:2" ht="15" customHeight="1">
      <c r="A9" s="104"/>
      <c r="B9" s="104" t="s">
        <v>800</v>
      </c>
    </row>
    <row r="10" spans="1:2" ht="15" customHeight="1">
      <c r="A10" s="104"/>
      <c r="B10" s="306" t="s">
        <v>801</v>
      </c>
    </row>
    <row r="11" spans="1:2" ht="15" customHeight="1">
      <c r="A11" s="104"/>
      <c r="B11" s="174" t="s">
        <v>802</v>
      </c>
    </row>
    <row r="12" spans="1:2" ht="15" customHeight="1">
      <c r="A12" s="104"/>
      <c r="B12" s="174" t="s">
        <v>803</v>
      </c>
    </row>
    <row r="13" ht="15" customHeight="1">
      <c r="B13" s="2" t="s">
        <v>804</v>
      </c>
    </row>
    <row r="14" ht="12.75" customHeight="1"/>
    <row r="15" spans="1:18" ht="15" customHeight="1">
      <c r="A15" s="110" t="s">
        <v>592</v>
      </c>
      <c r="B15" s="67" t="s">
        <v>918</v>
      </c>
      <c r="P15" s="21" t="s">
        <v>281</v>
      </c>
      <c r="Q15" s="116"/>
      <c r="R15" s="65" t="s">
        <v>403</v>
      </c>
    </row>
    <row r="16" spans="1:18" ht="15" customHeight="1">
      <c r="A16" s="104"/>
      <c r="B16" s="116"/>
      <c r="P16" s="104"/>
      <c r="Q16" s="23" t="s">
        <v>320</v>
      </c>
      <c r="R16" s="23"/>
    </row>
    <row r="17" spans="1:18" ht="12.75" customHeight="1">
      <c r="A17" s="104"/>
      <c r="B17" s="116"/>
      <c r="P17" s="104"/>
      <c r="Q17" s="23"/>
      <c r="R17" s="23"/>
    </row>
    <row r="18" spans="1:18" ht="15" customHeight="1">
      <c r="A18" s="104"/>
      <c r="B18" s="104" t="s">
        <v>693</v>
      </c>
      <c r="P18" s="206">
        <v>25708</v>
      </c>
      <c r="Q18" s="174"/>
      <c r="R18" s="96">
        <v>0</v>
      </c>
    </row>
    <row r="19" spans="1:18" ht="15" customHeight="1">
      <c r="A19" s="104"/>
      <c r="B19" s="104" t="s">
        <v>692</v>
      </c>
      <c r="P19" s="207">
        <f>145057+3211</f>
        <v>148268</v>
      </c>
      <c r="Q19" s="174"/>
      <c r="R19" s="101">
        <v>141103</v>
      </c>
    </row>
    <row r="20" spans="1:18" ht="15" customHeight="1">
      <c r="A20" s="104"/>
      <c r="B20" s="104" t="s">
        <v>361</v>
      </c>
      <c r="P20" s="207">
        <v>22270</v>
      </c>
      <c r="Q20" s="174"/>
      <c r="R20" s="101">
        <v>31843</v>
      </c>
    </row>
    <row r="21" spans="1:18" ht="15" customHeight="1">
      <c r="A21" s="104"/>
      <c r="B21" s="104" t="s">
        <v>626</v>
      </c>
      <c r="P21" s="207">
        <v>115744</v>
      </c>
      <c r="Q21" s="174"/>
      <c r="R21" s="101">
        <v>69576</v>
      </c>
    </row>
    <row r="22" spans="1:18" ht="15" customHeight="1">
      <c r="A22" s="104"/>
      <c r="B22" s="104" t="s">
        <v>834</v>
      </c>
      <c r="P22" s="207">
        <v>6674</v>
      </c>
      <c r="Q22" s="174"/>
      <c r="R22" s="101">
        <v>15721</v>
      </c>
    </row>
    <row r="23" spans="1:18" ht="15" customHeight="1">
      <c r="A23" s="104"/>
      <c r="B23" s="104" t="s">
        <v>133</v>
      </c>
      <c r="P23" s="207">
        <v>78096</v>
      </c>
      <c r="Q23" s="174"/>
      <c r="R23" s="101">
        <v>264933</v>
      </c>
    </row>
    <row r="24" spans="16:18" ht="15" customHeight="1" thickBot="1">
      <c r="P24" s="208">
        <f>SUM(P18:P23)</f>
        <v>396760</v>
      </c>
      <c r="Q24" s="174"/>
      <c r="R24" s="145">
        <f>SUM(R18:R23)</f>
        <v>523176</v>
      </c>
    </row>
    <row r="25" ht="12.75" customHeight="1" thickTop="1"/>
    <row r="26" spans="1:2" ht="15" customHeight="1">
      <c r="A26" s="112" t="s">
        <v>68</v>
      </c>
      <c r="B26" s="142" t="s">
        <v>486</v>
      </c>
    </row>
    <row r="27" ht="12.75" customHeight="1"/>
    <row r="28" spans="2:18" ht="15" customHeight="1">
      <c r="B28" s="453"/>
      <c r="C28" s="453"/>
      <c r="D28" s="556" t="s">
        <v>779</v>
      </c>
      <c r="E28" s="294"/>
      <c r="F28" s="557" t="s">
        <v>368</v>
      </c>
      <c r="G28" s="294"/>
      <c r="H28" s="556" t="s">
        <v>262</v>
      </c>
      <c r="I28" s="294"/>
      <c r="J28" s="556" t="s">
        <v>780</v>
      </c>
      <c r="K28" s="294"/>
      <c r="L28" s="560" t="s">
        <v>413</v>
      </c>
      <c r="M28" s="293"/>
      <c r="N28" s="556" t="s">
        <v>263</v>
      </c>
      <c r="O28" s="454"/>
      <c r="P28" s="556" t="s">
        <v>261</v>
      </c>
      <c r="Q28" s="453"/>
      <c r="R28" s="556" t="s">
        <v>35</v>
      </c>
    </row>
    <row r="29" spans="2:18" ht="15" customHeight="1">
      <c r="B29" s="453"/>
      <c r="C29" s="453"/>
      <c r="D29" s="556"/>
      <c r="E29" s="294"/>
      <c r="F29" s="557"/>
      <c r="G29" s="294"/>
      <c r="H29" s="556"/>
      <c r="I29" s="294"/>
      <c r="J29" s="556"/>
      <c r="K29" s="294"/>
      <c r="L29" s="560"/>
      <c r="M29" s="293"/>
      <c r="N29" s="556"/>
      <c r="O29" s="454"/>
      <c r="P29" s="556"/>
      <c r="Q29" s="453"/>
      <c r="R29" s="556"/>
    </row>
    <row r="30" spans="2:18" ht="15" customHeight="1">
      <c r="B30" s="453"/>
      <c r="C30" s="453"/>
      <c r="D30" s="556"/>
      <c r="E30" s="294"/>
      <c r="F30" s="557"/>
      <c r="G30" s="293"/>
      <c r="H30" s="556"/>
      <c r="I30" s="293"/>
      <c r="J30" s="556"/>
      <c r="K30" s="293"/>
      <c r="L30" s="560"/>
      <c r="M30" s="293"/>
      <c r="N30" s="556"/>
      <c r="O30" s="454"/>
      <c r="P30" s="556"/>
      <c r="Q30" s="453"/>
      <c r="R30" s="556"/>
    </row>
    <row r="31" spans="2:18" ht="15" customHeight="1">
      <c r="B31" s="453"/>
      <c r="C31" s="453"/>
      <c r="D31" s="556"/>
      <c r="E31" s="294"/>
      <c r="F31" s="557"/>
      <c r="G31" s="293"/>
      <c r="H31" s="556"/>
      <c r="I31" s="293"/>
      <c r="J31" s="556"/>
      <c r="K31" s="293"/>
      <c r="L31" s="560"/>
      <c r="M31" s="293"/>
      <c r="N31" s="556"/>
      <c r="O31" s="454"/>
      <c r="P31" s="556"/>
      <c r="Q31" s="453"/>
      <c r="R31" s="556"/>
    </row>
    <row r="32" spans="2:18" ht="15" customHeight="1"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332" t="s">
        <v>15</v>
      </c>
      <c r="M32" s="453"/>
      <c r="N32" s="453"/>
      <c r="O32" s="453"/>
      <c r="P32" s="453"/>
      <c r="Q32" s="453"/>
      <c r="R32" s="453"/>
    </row>
    <row r="33" spans="2:18" ht="12.75" customHeight="1"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</row>
    <row r="34" spans="2:18" ht="15" customHeight="1">
      <c r="B34" s="357" t="s">
        <v>414</v>
      </c>
      <c r="C34" s="453"/>
      <c r="D34" s="418">
        <v>98331</v>
      </c>
      <c r="E34" s="419"/>
      <c r="F34" s="418">
        <f>164797</f>
        <v>164797</v>
      </c>
      <c r="G34" s="419"/>
      <c r="H34" s="419">
        <f>D34+F34+F35</f>
        <v>263128</v>
      </c>
      <c r="I34" s="419"/>
      <c r="J34" s="419">
        <v>77460</v>
      </c>
      <c r="K34" s="418"/>
      <c r="L34" s="418">
        <f>69987</f>
        <v>69987</v>
      </c>
      <c r="M34" s="455"/>
      <c r="N34" s="418">
        <f>J34+L34+L35</f>
        <v>147447</v>
      </c>
      <c r="O34" s="418"/>
      <c r="P34" s="418">
        <f>H34-N34</f>
        <v>115681</v>
      </c>
      <c r="Q34" s="453"/>
      <c r="R34" s="358">
        <v>33.33</v>
      </c>
    </row>
    <row r="35" spans="2:19" ht="3.75" customHeight="1" thickBot="1">
      <c r="B35" s="357"/>
      <c r="C35" s="453"/>
      <c r="D35" s="456"/>
      <c r="E35" s="357"/>
      <c r="F35" s="457"/>
      <c r="G35" s="357"/>
      <c r="H35" s="456"/>
      <c r="I35" s="357"/>
      <c r="J35" s="456"/>
      <c r="K35" s="357"/>
      <c r="L35" s="457"/>
      <c r="M35" s="357"/>
      <c r="N35" s="456"/>
      <c r="O35" s="357"/>
      <c r="P35" s="456"/>
      <c r="Q35" s="453"/>
      <c r="R35" s="357"/>
      <c r="S35" s="142"/>
    </row>
    <row r="36" spans="2:19" ht="12.75" customHeight="1" thickTop="1">
      <c r="B36" s="359"/>
      <c r="C36" s="453"/>
      <c r="D36" s="293"/>
      <c r="E36" s="294"/>
      <c r="F36" s="334"/>
      <c r="G36" s="294"/>
      <c r="H36" s="294"/>
      <c r="I36" s="294"/>
      <c r="J36" s="294"/>
      <c r="K36" s="293"/>
      <c r="L36" s="293"/>
      <c r="M36" s="293"/>
      <c r="N36" s="293"/>
      <c r="O36" s="293"/>
      <c r="P36" s="293"/>
      <c r="Q36" s="293"/>
      <c r="R36" s="293"/>
      <c r="S36" s="143"/>
    </row>
    <row r="37" spans="2:19" ht="15" customHeight="1" thickBot="1">
      <c r="B37" s="359">
        <v>2005</v>
      </c>
      <c r="C37" s="453"/>
      <c r="D37" s="360">
        <v>32467</v>
      </c>
      <c r="E37" s="362"/>
      <c r="F37" s="360">
        <v>65864</v>
      </c>
      <c r="G37" s="362"/>
      <c r="H37" s="415">
        <f>F37+D37</f>
        <v>98331</v>
      </c>
      <c r="I37" s="362"/>
      <c r="J37" s="415">
        <v>32097</v>
      </c>
      <c r="K37" s="361"/>
      <c r="L37" s="360">
        <v>45363</v>
      </c>
      <c r="M37" s="293"/>
      <c r="N37" s="360">
        <f>J37+L37</f>
        <v>77460</v>
      </c>
      <c r="O37" s="361"/>
      <c r="P37" s="360">
        <f>H37-N37</f>
        <v>20871</v>
      </c>
      <c r="Q37" s="453"/>
      <c r="R37" s="293"/>
      <c r="S37" s="143"/>
    </row>
    <row r="38" ht="15" customHeight="1" thickTop="1"/>
    <row r="39" spans="1:18" ht="15" customHeight="1">
      <c r="A39" s="106" t="s">
        <v>78</v>
      </c>
      <c r="B39" s="142" t="s">
        <v>767</v>
      </c>
      <c r="P39" s="329" t="s">
        <v>281</v>
      </c>
      <c r="Q39" s="328"/>
      <c r="R39" s="330" t="s">
        <v>403</v>
      </c>
    </row>
    <row r="40" spans="1:18" ht="15" customHeight="1">
      <c r="A40" s="106"/>
      <c r="B40" s="142"/>
      <c r="P40" s="174"/>
      <c r="Q40" s="23" t="s">
        <v>320</v>
      </c>
      <c r="R40" s="23"/>
    </row>
    <row r="41" spans="1:2" ht="12.75" customHeight="1">
      <c r="A41" s="105"/>
      <c r="B41" s="142"/>
    </row>
    <row r="42" spans="1:2" ht="15" customHeight="1">
      <c r="A42" s="9"/>
      <c r="B42" s="104" t="s">
        <v>392</v>
      </c>
    </row>
    <row r="43" spans="1:18" ht="15" customHeight="1">
      <c r="A43" s="9"/>
      <c r="B43" s="104" t="s">
        <v>10</v>
      </c>
      <c r="N43" s="68">
        <v>21.1</v>
      </c>
      <c r="P43" s="209">
        <v>1793081.5</v>
      </c>
      <c r="Q43" s="96"/>
      <c r="R43" s="98">
        <v>2710157</v>
      </c>
    </row>
    <row r="44" spans="1:18" ht="15" customHeight="1">
      <c r="A44" s="9"/>
      <c r="B44" s="104" t="s">
        <v>506</v>
      </c>
      <c r="P44" s="209">
        <v>5657998.625</v>
      </c>
      <c r="Q44" s="96"/>
      <c r="R44" s="98">
        <v>2309390</v>
      </c>
    </row>
    <row r="45" spans="1:18" ht="15" customHeight="1">
      <c r="A45" s="9"/>
      <c r="B45" s="104" t="s">
        <v>614</v>
      </c>
      <c r="P45" s="206"/>
      <c r="Q45" s="96"/>
      <c r="R45" s="96"/>
    </row>
    <row r="46" spans="1:18" ht="15" customHeight="1">
      <c r="A46" s="9"/>
      <c r="B46" s="104" t="s">
        <v>11</v>
      </c>
      <c r="P46" s="206">
        <v>0</v>
      </c>
      <c r="Q46" s="96"/>
      <c r="R46" s="96">
        <v>7691</v>
      </c>
    </row>
    <row r="47" spans="1:18" ht="15" customHeight="1">
      <c r="A47" s="9"/>
      <c r="B47" s="104" t="s">
        <v>563</v>
      </c>
      <c r="P47" s="209">
        <v>62290</v>
      </c>
      <c r="Q47" s="96"/>
      <c r="R47" s="98">
        <v>49732</v>
      </c>
    </row>
    <row r="48" spans="1:18" ht="12.75" customHeight="1">
      <c r="A48" s="9"/>
      <c r="B48" s="104" t="s">
        <v>564</v>
      </c>
      <c r="P48" s="206">
        <v>2395614.707269999</v>
      </c>
      <c r="Q48" s="96"/>
      <c r="R48" s="96">
        <v>1303194</v>
      </c>
    </row>
    <row r="49" spans="1:18" ht="15" customHeight="1">
      <c r="A49" s="9"/>
      <c r="B49" s="104" t="s">
        <v>876</v>
      </c>
      <c r="P49" s="209">
        <f>10000220.82837-10000000</f>
        <v>220.8283699993044</v>
      </c>
      <c r="Q49" s="96"/>
      <c r="R49" s="96">
        <v>343805</v>
      </c>
    </row>
    <row r="50" spans="1:18" ht="15" customHeight="1">
      <c r="A50" s="9"/>
      <c r="B50" s="104" t="s">
        <v>928</v>
      </c>
      <c r="P50" s="206">
        <v>2703084.83667</v>
      </c>
      <c r="Q50" s="98"/>
      <c r="R50" s="96">
        <v>1214087</v>
      </c>
    </row>
    <row r="51" spans="16:18" ht="15" customHeight="1" thickBot="1">
      <c r="P51" s="208">
        <f>SUM(P43:P50)+2</f>
        <v>12612292.49731</v>
      </c>
      <c r="Q51" s="98"/>
      <c r="R51" s="145">
        <f>SUM(R43:R50)</f>
        <v>7938056</v>
      </c>
    </row>
    <row r="52" ht="15" customHeight="1" thickTop="1"/>
  </sheetData>
  <mergeCells count="8">
    <mergeCell ref="D28:D31"/>
    <mergeCell ref="F28:F31"/>
    <mergeCell ref="H28:H31"/>
    <mergeCell ref="R28:R31"/>
    <mergeCell ref="J28:J31"/>
    <mergeCell ref="L28:L31"/>
    <mergeCell ref="P28:P31"/>
    <mergeCell ref="N28:N31"/>
  </mergeCells>
  <printOptions/>
  <pageMargins left="0.75" right="0.5" top="1" bottom="1" header="0.5" footer="0.5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Q99"/>
  <sheetViews>
    <sheetView view="pageBreakPreview" zoomScaleSheetLayoutView="100" workbookViewId="0" topLeftCell="A85">
      <selection activeCell="D97" sqref="D97"/>
    </sheetView>
  </sheetViews>
  <sheetFormatPr defaultColWidth="9.140625" defaultRowHeight="12.75"/>
  <cols>
    <col min="1" max="1" width="5.00390625" style="9" bestFit="1" customWidth="1"/>
    <col min="2" max="2" width="2.421875" style="9" customWidth="1"/>
    <col min="3" max="4" width="9.140625" style="9" customWidth="1"/>
    <col min="5" max="5" width="12.421875" style="9" customWidth="1"/>
    <col min="6" max="6" width="10.28125" style="9" customWidth="1"/>
    <col min="7" max="7" width="7.7109375" style="20" customWidth="1"/>
    <col min="8" max="8" width="13.7109375" style="9" customWidth="1"/>
    <col min="9" max="9" width="1.7109375" style="9" customWidth="1"/>
    <col min="10" max="10" width="13.7109375" style="9" customWidth="1"/>
    <col min="11" max="12" width="14.8515625" style="18" bestFit="1" customWidth="1"/>
    <col min="13" max="13" width="14.7109375" style="15" customWidth="1"/>
    <col min="14" max="14" width="9.140625" style="18" customWidth="1"/>
    <col min="15" max="16" width="13.00390625" style="18" bestFit="1" customWidth="1"/>
    <col min="17" max="17" width="20.7109375" style="18" customWidth="1"/>
    <col min="18" max="33" width="9.140625" style="18" customWidth="1"/>
    <col min="34" max="16384" width="9.140625" style="9" customWidth="1"/>
  </cols>
  <sheetData>
    <row r="1" spans="1:2" ht="15">
      <c r="A1" s="110" t="s">
        <v>594</v>
      </c>
      <c r="B1" s="104" t="s">
        <v>677</v>
      </c>
    </row>
    <row r="2" spans="1:2" ht="15">
      <c r="A2" s="110"/>
      <c r="B2" s="104" t="s">
        <v>678</v>
      </c>
    </row>
    <row r="3" spans="1:2" ht="15">
      <c r="A3" s="110"/>
      <c r="B3" s="104" t="s">
        <v>870</v>
      </c>
    </row>
    <row r="4" ht="15">
      <c r="B4" s="9" t="s">
        <v>679</v>
      </c>
    </row>
    <row r="5" ht="10.5" customHeight="1"/>
    <row r="6" spans="1:10" ht="15">
      <c r="A6" s="105" t="s">
        <v>77</v>
      </c>
      <c r="B6" s="10" t="s">
        <v>306</v>
      </c>
      <c r="H6" s="383" t="s">
        <v>281</v>
      </c>
      <c r="I6" s="116"/>
      <c r="J6" s="384" t="s">
        <v>403</v>
      </c>
    </row>
    <row r="7" spans="1:10" ht="15">
      <c r="A7" s="105"/>
      <c r="B7" s="10"/>
      <c r="H7" s="104"/>
      <c r="I7" s="23" t="s">
        <v>320</v>
      </c>
      <c r="J7" s="23"/>
    </row>
    <row r="8" spans="1:2" ht="10.5" customHeight="1">
      <c r="A8" s="2"/>
      <c r="B8" s="2"/>
    </row>
    <row r="9" spans="1:10" ht="15">
      <c r="A9" s="2"/>
      <c r="B9" s="9" t="s">
        <v>184</v>
      </c>
      <c r="G9" s="51" t="s">
        <v>94</v>
      </c>
      <c r="H9" s="206">
        <v>80452535</v>
      </c>
      <c r="I9" s="96"/>
      <c r="J9" s="96">
        <f>'Note 21.1 - 24.1'!J33</f>
        <v>59285743</v>
      </c>
    </row>
    <row r="10" spans="1:10" ht="15">
      <c r="A10" s="2"/>
      <c r="B10" s="9" t="s">
        <v>149</v>
      </c>
      <c r="G10" s="23"/>
      <c r="H10" s="206" t="s">
        <v>384</v>
      </c>
      <c r="I10" s="96"/>
      <c r="J10" s="96" t="s">
        <v>384</v>
      </c>
    </row>
    <row r="11" spans="1:10" ht="15">
      <c r="A11" s="2"/>
      <c r="B11" s="28" t="s">
        <v>654</v>
      </c>
      <c r="G11" s="51" t="s">
        <v>595</v>
      </c>
      <c r="H11" s="210">
        <v>26536666</v>
      </c>
      <c r="I11" s="96"/>
      <c r="J11" s="99">
        <f>'Note 21.1 - 24.1'!J41</f>
        <v>19606971</v>
      </c>
    </row>
    <row r="12" spans="1:10" ht="15">
      <c r="A12" s="2"/>
      <c r="B12" s="28" t="s">
        <v>655</v>
      </c>
      <c r="G12" s="51" t="s">
        <v>596</v>
      </c>
      <c r="H12" s="211">
        <v>27935196</v>
      </c>
      <c r="I12" s="96"/>
      <c r="J12" s="176">
        <f>'Note 21.1 - 24.1'!J49</f>
        <v>22971702</v>
      </c>
    </row>
    <row r="13" spans="1:10" ht="15">
      <c r="A13" s="2"/>
      <c r="B13" s="28" t="s">
        <v>199</v>
      </c>
      <c r="G13" s="51" t="s">
        <v>597</v>
      </c>
      <c r="H13" s="211">
        <v>7474126</v>
      </c>
      <c r="I13" s="96"/>
      <c r="J13" s="176">
        <f>'Note 21.1 - 24.1'!J57</f>
        <v>2484464</v>
      </c>
    </row>
    <row r="14" spans="1:10" ht="15">
      <c r="A14" s="2"/>
      <c r="B14" s="28" t="s">
        <v>396</v>
      </c>
      <c r="G14" s="51" t="s">
        <v>598</v>
      </c>
      <c r="H14" s="212">
        <v>0</v>
      </c>
      <c r="I14" s="96"/>
      <c r="J14" s="100">
        <f>'Note 21.1 - 24.1'!J67</f>
        <v>0</v>
      </c>
    </row>
    <row r="15" spans="1:10" ht="15">
      <c r="A15" s="2"/>
      <c r="H15" s="206">
        <f>SUM(H11:H14)</f>
        <v>61945988</v>
      </c>
      <c r="I15" s="96"/>
      <c r="J15" s="96">
        <f>SUM(J11:J14)</f>
        <v>45063137</v>
      </c>
    </row>
    <row r="16" spans="1:10" ht="15">
      <c r="A16" s="104"/>
      <c r="B16" s="104"/>
      <c r="H16" s="206"/>
      <c r="I16" s="96"/>
      <c r="J16" s="96"/>
    </row>
    <row r="17" spans="1:10" ht="15">
      <c r="A17" s="104"/>
      <c r="B17" s="9" t="s">
        <v>562</v>
      </c>
      <c r="H17" s="206">
        <v>4698599</v>
      </c>
      <c r="I17" s="96"/>
      <c r="J17" s="96">
        <v>568854</v>
      </c>
    </row>
    <row r="18" spans="8:10" ht="15.75" thickBot="1">
      <c r="H18" s="213">
        <f>H9+H15+H17</f>
        <v>147097122</v>
      </c>
      <c r="I18" s="96"/>
      <c r="J18" s="102">
        <f>J9+J15+J17</f>
        <v>104917734</v>
      </c>
    </row>
    <row r="19" spans="8:10" ht="10.5" customHeight="1" thickTop="1">
      <c r="H19" s="137"/>
      <c r="I19" s="137"/>
      <c r="J19" s="137"/>
    </row>
    <row r="20" spans="1:10" ht="15">
      <c r="A20" s="105" t="s">
        <v>94</v>
      </c>
      <c r="B20" s="10" t="s">
        <v>184</v>
      </c>
      <c r="H20" s="110"/>
      <c r="I20" s="104"/>
      <c r="J20" s="305"/>
    </row>
    <row r="21" spans="8:10" ht="10.5" customHeight="1">
      <c r="H21" s="206"/>
      <c r="I21" s="214"/>
      <c r="J21" s="214"/>
    </row>
    <row r="22" spans="2:11" ht="15">
      <c r="B22" s="9" t="s">
        <v>768</v>
      </c>
      <c r="H22" s="206">
        <v>33056</v>
      </c>
      <c r="I22" s="214"/>
      <c r="J22" s="214">
        <v>184642</v>
      </c>
      <c r="K22" s="9"/>
    </row>
    <row r="23" spans="2:11" ht="15">
      <c r="B23" s="9" t="s">
        <v>186</v>
      </c>
      <c r="H23" s="206">
        <v>13063</v>
      </c>
      <c r="I23" s="214"/>
      <c r="J23" s="214">
        <v>13616</v>
      </c>
      <c r="K23" s="9"/>
    </row>
    <row r="24" spans="2:11" ht="15">
      <c r="B24" s="9" t="s">
        <v>769</v>
      </c>
      <c r="H24" s="209">
        <v>14007202</v>
      </c>
      <c r="I24" s="214"/>
      <c r="J24" s="231">
        <v>13867615</v>
      </c>
      <c r="K24" s="9"/>
    </row>
    <row r="25" spans="2:11" ht="15">
      <c r="B25" s="9" t="s">
        <v>770</v>
      </c>
      <c r="G25" s="20">
        <v>22.6</v>
      </c>
      <c r="H25" s="209">
        <v>-5522955</v>
      </c>
      <c r="I25" s="214"/>
      <c r="J25" s="231">
        <v>-3211416</v>
      </c>
      <c r="K25" s="9"/>
    </row>
    <row r="26" spans="2:11" ht="15">
      <c r="B26" s="9" t="s">
        <v>185</v>
      </c>
      <c r="H26" s="209">
        <v>34495</v>
      </c>
      <c r="I26" s="214"/>
      <c r="J26" s="231">
        <v>34399</v>
      </c>
      <c r="K26" s="9"/>
    </row>
    <row r="27" spans="2:11" ht="15">
      <c r="B27" s="9" t="s">
        <v>871</v>
      </c>
      <c r="H27" s="209">
        <v>4124</v>
      </c>
      <c r="I27" s="214"/>
      <c r="J27" s="231">
        <v>4124</v>
      </c>
      <c r="K27" s="9"/>
    </row>
    <row r="28" spans="2:11" ht="15">
      <c r="B28" s="9" t="s">
        <v>507</v>
      </c>
      <c r="H28" s="209">
        <v>346366</v>
      </c>
      <c r="I28" s="214"/>
      <c r="J28" s="231">
        <v>253366</v>
      </c>
      <c r="K28" s="9"/>
    </row>
    <row r="29" spans="2:11" ht="15">
      <c r="B29" s="30" t="s">
        <v>355</v>
      </c>
      <c r="H29" s="209">
        <v>2011650</v>
      </c>
      <c r="I29" s="214"/>
      <c r="J29" s="231">
        <v>1736538</v>
      </c>
      <c r="K29" s="9"/>
    </row>
    <row r="30" spans="2:11" ht="15">
      <c r="B30" s="9" t="s">
        <v>187</v>
      </c>
      <c r="H30" s="209">
        <v>5276</v>
      </c>
      <c r="I30" s="214"/>
      <c r="J30" s="231">
        <v>5276</v>
      </c>
      <c r="K30" s="9"/>
    </row>
    <row r="31" spans="2:11" ht="15">
      <c r="B31" s="9" t="s">
        <v>890</v>
      </c>
      <c r="H31" s="209">
        <v>53814741</v>
      </c>
      <c r="I31" s="214"/>
      <c r="J31" s="231">
        <v>37616343</v>
      </c>
      <c r="K31" s="9"/>
    </row>
    <row r="32" spans="2:11" ht="15">
      <c r="B32" s="9" t="s">
        <v>891</v>
      </c>
      <c r="H32" s="209">
        <v>15705517</v>
      </c>
      <c r="I32" s="214"/>
      <c r="J32" s="231">
        <v>8781240</v>
      </c>
      <c r="K32" s="9"/>
    </row>
    <row r="33" spans="8:11" ht="15.75" thickBot="1">
      <c r="H33" s="213">
        <f>SUM(H22:H32)</f>
        <v>80452535</v>
      </c>
      <c r="I33" s="214"/>
      <c r="J33" s="236">
        <f>SUM(J22:J32)</f>
        <v>59285743</v>
      </c>
      <c r="K33" s="9"/>
    </row>
    <row r="34" spans="8:11" ht="10.5" customHeight="1" thickTop="1">
      <c r="H34" s="209"/>
      <c r="I34" s="214"/>
      <c r="J34" s="231"/>
      <c r="K34" s="9"/>
    </row>
    <row r="35" spans="1:10" ht="15">
      <c r="A35" s="105" t="s">
        <v>595</v>
      </c>
      <c r="B35" s="10" t="s">
        <v>188</v>
      </c>
      <c r="H35" s="110"/>
      <c r="I35" s="104"/>
      <c r="J35" s="305"/>
    </row>
    <row r="36" spans="8:16" ht="10.5" customHeight="1">
      <c r="H36" s="206"/>
      <c r="I36" s="214"/>
      <c r="J36" s="214"/>
      <c r="O36" s="8"/>
      <c r="P36" s="8"/>
    </row>
    <row r="37" spans="2:16" ht="15">
      <c r="B37" s="9" t="s">
        <v>768</v>
      </c>
      <c r="H37" s="206">
        <v>-3057044</v>
      </c>
      <c r="I37" s="214"/>
      <c r="J37" s="214">
        <v>-2134153</v>
      </c>
      <c r="K37" s="385"/>
      <c r="O37" s="8"/>
      <c r="P37" s="8"/>
    </row>
    <row r="38" spans="2:16" ht="15">
      <c r="B38" s="9" t="s">
        <v>186</v>
      </c>
      <c r="H38" s="206">
        <v>1140669</v>
      </c>
      <c r="I38" s="214"/>
      <c r="J38" s="214">
        <v>1004477</v>
      </c>
      <c r="O38" s="8"/>
      <c r="P38" s="8"/>
    </row>
    <row r="39" spans="2:16" ht="15">
      <c r="B39" s="9" t="s">
        <v>769</v>
      </c>
      <c r="H39" s="206">
        <v>155291</v>
      </c>
      <c r="I39" s="214"/>
      <c r="J39" s="214">
        <v>101542</v>
      </c>
      <c r="O39" s="8"/>
      <c r="P39" s="8"/>
    </row>
    <row r="40" spans="2:10" ht="15">
      <c r="B40" s="9" t="s">
        <v>190</v>
      </c>
      <c r="H40" s="209">
        <v>28297750</v>
      </c>
      <c r="I40" s="214"/>
      <c r="J40" s="231">
        <v>20635105</v>
      </c>
    </row>
    <row r="41" spans="8:10" ht="15.75" thickBot="1">
      <c r="H41" s="213">
        <f>SUM(H37:H40)</f>
        <v>26536666</v>
      </c>
      <c r="I41" s="214"/>
      <c r="J41" s="236">
        <f>SUM(J37:J40)</f>
        <v>19606971</v>
      </c>
    </row>
    <row r="42" spans="8:10" ht="10.5" customHeight="1" thickTop="1">
      <c r="H42" s="209"/>
      <c r="I42" s="214"/>
      <c r="J42" s="231"/>
    </row>
    <row r="43" spans="1:10" ht="15">
      <c r="A43" s="105" t="s">
        <v>596</v>
      </c>
      <c r="B43" s="10" t="s">
        <v>191</v>
      </c>
      <c r="H43" s="206"/>
      <c r="I43" s="214"/>
      <c r="J43" s="214"/>
    </row>
    <row r="44" spans="8:10" ht="10.5" customHeight="1">
      <c r="H44" s="206"/>
      <c r="I44" s="214"/>
      <c r="J44" s="214"/>
    </row>
    <row r="45" spans="2:17" ht="15">
      <c r="B45" s="9" t="s">
        <v>768</v>
      </c>
      <c r="H45" s="209">
        <v>21045688</v>
      </c>
      <c r="I45" s="214"/>
      <c r="J45" s="231">
        <v>17578105</v>
      </c>
      <c r="L45" s="9"/>
      <c r="N45" s="9"/>
      <c r="O45" s="9"/>
      <c r="P45" s="158">
        <f>Q45*-1</f>
        <v>-79146.81315999999</v>
      </c>
      <c r="Q45" s="5">
        <v>79146.81315999999</v>
      </c>
    </row>
    <row r="46" spans="2:17" ht="15">
      <c r="B46" s="9" t="s">
        <v>186</v>
      </c>
      <c r="H46" s="209">
        <v>358481</v>
      </c>
      <c r="I46" s="214"/>
      <c r="J46" s="231">
        <v>35901</v>
      </c>
      <c r="L46" s="9"/>
      <c r="M46" s="14"/>
      <c r="N46" s="9"/>
      <c r="O46" s="9"/>
      <c r="P46" s="158">
        <f>Q46*-1</f>
        <v>181227.17516999997</v>
      </c>
      <c r="Q46" s="5">
        <v>-181227.17516999997</v>
      </c>
    </row>
    <row r="47" spans="2:17" ht="15">
      <c r="B47" s="9" t="s">
        <v>769</v>
      </c>
      <c r="H47" s="209">
        <v>86809</v>
      </c>
      <c r="I47" s="214"/>
      <c r="J47" s="231">
        <v>75084</v>
      </c>
      <c r="L47" s="9"/>
      <c r="M47" s="14"/>
      <c r="N47" s="9"/>
      <c r="O47" s="9"/>
      <c r="P47" s="158">
        <f>Q47*-1</f>
        <v>144916.9965</v>
      </c>
      <c r="Q47" s="75">
        <v>-144916.9965</v>
      </c>
    </row>
    <row r="48" spans="2:13" ht="15">
      <c r="B48" s="9" t="s">
        <v>190</v>
      </c>
      <c r="H48" s="209">
        <v>6444218</v>
      </c>
      <c r="I48" s="214"/>
      <c r="J48" s="231">
        <v>5282612</v>
      </c>
      <c r="L48" s="9"/>
      <c r="M48" s="14"/>
    </row>
    <row r="49" spans="8:10" ht="15.75" thickBot="1">
      <c r="H49" s="213">
        <f>SUM(H45:H48)</f>
        <v>27935196</v>
      </c>
      <c r="I49" s="214"/>
      <c r="J49" s="236">
        <f>SUM(J45:J48)</f>
        <v>22971702</v>
      </c>
    </row>
    <row r="50" spans="1:10" ht="15.75" thickTop="1">
      <c r="A50" s="105" t="s">
        <v>597</v>
      </c>
      <c r="B50" s="10" t="s">
        <v>192</v>
      </c>
      <c r="H50" s="383" t="s">
        <v>281</v>
      </c>
      <c r="I50" s="116"/>
      <c r="J50" s="384" t="s">
        <v>403</v>
      </c>
    </row>
    <row r="51" spans="8:10" ht="15">
      <c r="H51" s="104"/>
      <c r="I51" s="23" t="s">
        <v>320</v>
      </c>
      <c r="J51" s="23"/>
    </row>
    <row r="52" spans="8:10" ht="10.5" customHeight="1">
      <c r="H52" s="107"/>
      <c r="I52" s="59"/>
      <c r="J52" s="59"/>
    </row>
    <row r="53" spans="2:12" ht="15">
      <c r="B53" s="9" t="s">
        <v>768</v>
      </c>
      <c r="H53" s="209">
        <v>5330813</v>
      </c>
      <c r="I53" s="214"/>
      <c r="J53" s="231">
        <v>1072476</v>
      </c>
      <c r="K53" s="5"/>
      <c r="L53" s="385"/>
    </row>
    <row r="54" spans="2:12" ht="15">
      <c r="B54" s="9" t="s">
        <v>186</v>
      </c>
      <c r="H54" s="209">
        <v>359919</v>
      </c>
      <c r="I54" s="214"/>
      <c r="J54" s="231">
        <v>760235</v>
      </c>
      <c r="K54" s="5"/>
      <c r="L54" s="385"/>
    </row>
    <row r="55" spans="2:12" ht="15">
      <c r="B55" s="9" t="s">
        <v>769</v>
      </c>
      <c r="H55" s="209">
        <v>1480</v>
      </c>
      <c r="I55" s="214"/>
      <c r="J55" s="231">
        <v>412</v>
      </c>
      <c r="K55" s="5"/>
      <c r="L55" s="385"/>
    </row>
    <row r="56" spans="2:12" ht="15">
      <c r="B56" s="9" t="s">
        <v>190</v>
      </c>
      <c r="H56" s="209">
        <v>1781914</v>
      </c>
      <c r="I56" s="214"/>
      <c r="J56" s="231">
        <v>651341</v>
      </c>
      <c r="K56" s="5"/>
      <c r="L56" s="385"/>
    </row>
    <row r="57" spans="8:11" ht="15.75" thickBot="1">
      <c r="H57" s="213">
        <f>SUM(H53:H56)</f>
        <v>7474126</v>
      </c>
      <c r="I57" s="214"/>
      <c r="J57" s="236">
        <f>SUM(J53:J56)</f>
        <v>2484464</v>
      </c>
      <c r="K57" s="5"/>
    </row>
    <row r="58" spans="8:11" ht="10.5" customHeight="1" thickTop="1">
      <c r="H58" s="206"/>
      <c r="I58" s="214"/>
      <c r="J58" s="214"/>
      <c r="K58" s="5"/>
    </row>
    <row r="59" spans="1:11" ht="15">
      <c r="A59" s="105" t="s">
        <v>598</v>
      </c>
      <c r="B59" s="10" t="s">
        <v>195</v>
      </c>
      <c r="H59" s="137"/>
      <c r="I59" s="137"/>
      <c r="J59" s="137"/>
      <c r="K59" s="5"/>
    </row>
    <row r="60" spans="8:11" ht="10.5" customHeight="1">
      <c r="H60" s="206"/>
      <c r="I60" s="214"/>
      <c r="J60" s="214"/>
      <c r="K60" s="5"/>
    </row>
    <row r="61" spans="2:12" ht="15">
      <c r="B61" s="9" t="s">
        <v>768</v>
      </c>
      <c r="H61" s="209">
        <v>-11621795</v>
      </c>
      <c r="I61" s="214"/>
      <c r="J61" s="231">
        <v>-3840510</v>
      </c>
      <c r="K61" s="5"/>
      <c r="L61" s="386"/>
    </row>
    <row r="62" spans="2:12" ht="15">
      <c r="B62" s="9" t="s">
        <v>186</v>
      </c>
      <c r="H62" s="209">
        <v>28179</v>
      </c>
      <c r="I62" s="214"/>
      <c r="J62" s="231">
        <v>58481</v>
      </c>
      <c r="K62" s="5"/>
      <c r="L62" s="386"/>
    </row>
    <row r="63" spans="2:12" ht="15">
      <c r="B63" s="9" t="s">
        <v>769</v>
      </c>
      <c r="H63" s="209">
        <v>1</v>
      </c>
      <c r="I63" s="214"/>
      <c r="J63" s="231">
        <v>2</v>
      </c>
      <c r="K63" s="5"/>
      <c r="L63" s="386"/>
    </row>
    <row r="64" spans="2:12" ht="15">
      <c r="B64" s="9" t="s">
        <v>190</v>
      </c>
      <c r="H64" s="232">
        <v>2689347</v>
      </c>
      <c r="I64" s="214"/>
      <c r="J64" s="233">
        <v>1667982</v>
      </c>
      <c r="K64" s="5"/>
      <c r="L64" s="386"/>
    </row>
    <row r="65" spans="8:12" ht="15">
      <c r="H65" s="209">
        <f>SUM(H61:H64)</f>
        <v>-8904268</v>
      </c>
      <c r="I65" s="214"/>
      <c r="J65" s="231">
        <f>SUM(J61:J64)</f>
        <v>-2114045</v>
      </c>
      <c r="K65" s="5"/>
      <c r="L65" s="386"/>
    </row>
    <row r="66" spans="2:12" ht="15">
      <c r="B66" s="9" t="s">
        <v>158</v>
      </c>
      <c r="G66" s="20">
        <v>22.6</v>
      </c>
      <c r="H66" s="209">
        <f>-H65</f>
        <v>8904268</v>
      </c>
      <c r="I66" s="214"/>
      <c r="J66" s="231">
        <f>-J65</f>
        <v>2114045</v>
      </c>
      <c r="K66" s="5"/>
      <c r="L66" s="386"/>
    </row>
    <row r="67" spans="2:11" ht="15.75" thickBot="1">
      <c r="B67" s="9" t="s">
        <v>201</v>
      </c>
      <c r="H67" s="213">
        <f>SUM(H65:H66)</f>
        <v>0</v>
      </c>
      <c r="I67" s="214"/>
      <c r="J67" s="236">
        <f>SUM(J65:J66)</f>
        <v>0</v>
      </c>
      <c r="K67" s="5"/>
    </row>
    <row r="68" spans="8:11" ht="10.5" customHeight="1" thickTop="1">
      <c r="H68" s="147"/>
      <c r="I68" s="59"/>
      <c r="J68" s="53"/>
      <c r="K68" s="5"/>
    </row>
    <row r="69" spans="1:10" ht="15">
      <c r="A69" s="105" t="s">
        <v>599</v>
      </c>
      <c r="B69" s="561" t="s">
        <v>694</v>
      </c>
      <c r="C69" s="561"/>
      <c r="D69" s="561"/>
      <c r="E69" s="561"/>
      <c r="F69" s="561"/>
      <c r="G69" s="561"/>
      <c r="H69" s="561"/>
      <c r="I69" s="561"/>
      <c r="J69" s="561"/>
    </row>
    <row r="70" spans="1:10" ht="10.5" customHeight="1">
      <c r="A70" s="105"/>
      <c r="B70" s="314"/>
      <c r="C70" s="314"/>
      <c r="D70" s="314"/>
      <c r="E70" s="314"/>
      <c r="F70" s="314"/>
      <c r="G70" s="314"/>
      <c r="H70" s="314"/>
      <c r="I70" s="314"/>
      <c r="J70" s="314"/>
    </row>
    <row r="71" spans="1:10" ht="15">
      <c r="A71" s="105" t="s">
        <v>79</v>
      </c>
      <c r="B71" s="10" t="s">
        <v>923</v>
      </c>
      <c r="H71" s="14"/>
      <c r="I71" s="14"/>
      <c r="J71" s="14"/>
    </row>
    <row r="72" spans="8:10" ht="10.5" customHeight="1">
      <c r="H72" s="14"/>
      <c r="I72" s="14"/>
      <c r="J72" s="14"/>
    </row>
    <row r="73" spans="2:10" ht="15">
      <c r="B73" s="9" t="s">
        <v>695</v>
      </c>
      <c r="H73" s="14"/>
      <c r="I73" s="14"/>
      <c r="J73" s="14"/>
    </row>
    <row r="74" spans="2:10" ht="15">
      <c r="B74" s="9" t="s">
        <v>696</v>
      </c>
      <c r="H74" s="14"/>
      <c r="I74" s="14"/>
      <c r="J74" s="14"/>
    </row>
    <row r="75" spans="8:10" ht="10.5" customHeight="1">
      <c r="H75" s="14"/>
      <c r="I75" s="14"/>
      <c r="J75" s="14"/>
    </row>
    <row r="76" spans="1:10" ht="15">
      <c r="A76" s="150" t="s">
        <v>83</v>
      </c>
      <c r="B76" s="10" t="s">
        <v>771</v>
      </c>
      <c r="C76" s="137"/>
      <c r="H76" s="14"/>
      <c r="I76" s="14"/>
      <c r="J76" s="14"/>
    </row>
    <row r="77" spans="1:10" ht="15">
      <c r="A77" s="137"/>
      <c r="B77" s="144" t="s">
        <v>12</v>
      </c>
      <c r="H77" s="14"/>
      <c r="I77" s="14"/>
      <c r="J77" s="14"/>
    </row>
    <row r="78" spans="1:10" ht="10.5" customHeight="1">
      <c r="A78" s="137"/>
      <c r="B78" s="144"/>
      <c r="H78" s="14"/>
      <c r="I78" s="14"/>
      <c r="J78" s="14"/>
    </row>
    <row r="79" spans="1:10" ht="15">
      <c r="A79" s="137"/>
      <c r="B79" s="144" t="s">
        <v>362</v>
      </c>
      <c r="C79" s="137"/>
      <c r="H79" s="14"/>
      <c r="I79" s="14"/>
      <c r="J79" s="14"/>
    </row>
    <row r="80" spans="1:10" ht="10.5" customHeight="1">
      <c r="A80" s="137"/>
      <c r="B80" s="144"/>
      <c r="C80" s="137"/>
      <c r="H80" s="14"/>
      <c r="I80" s="14"/>
      <c r="J80" s="14"/>
    </row>
    <row r="81" spans="1:10" ht="15">
      <c r="A81" s="137"/>
      <c r="B81" s="137" t="s">
        <v>72</v>
      </c>
      <c r="H81" s="209">
        <v>19537121</v>
      </c>
      <c r="I81" s="429"/>
      <c r="J81" s="429">
        <v>15920332</v>
      </c>
    </row>
    <row r="82" spans="1:10" ht="15">
      <c r="A82" s="137"/>
      <c r="B82" s="137" t="s">
        <v>872</v>
      </c>
      <c r="H82" s="232">
        <v>43869431</v>
      </c>
      <c r="I82" s="429"/>
      <c r="J82" s="432">
        <v>41135858</v>
      </c>
    </row>
    <row r="83" spans="1:10" ht="15">
      <c r="A83" s="137"/>
      <c r="B83" s="144"/>
      <c r="C83" s="153"/>
      <c r="H83" s="209">
        <f>SUM(H81:H82)</f>
        <v>63406552</v>
      </c>
      <c r="I83" s="429"/>
      <c r="J83" s="429">
        <f>SUM(J81:J82)</f>
        <v>57056190</v>
      </c>
    </row>
    <row r="84" spans="1:10" ht="15">
      <c r="A84" s="137"/>
      <c r="B84" s="144" t="s">
        <v>373</v>
      </c>
      <c r="C84" s="153"/>
      <c r="H84" s="209"/>
      <c r="I84" s="429"/>
      <c r="J84" s="429"/>
    </row>
    <row r="85" spans="1:10" ht="10.5" customHeight="1">
      <c r="A85" s="137"/>
      <c r="B85" s="144"/>
      <c r="C85" s="153"/>
      <c r="H85" s="209"/>
      <c r="I85" s="429"/>
      <c r="J85" s="429"/>
    </row>
    <row r="86" spans="1:10" ht="15">
      <c r="A86" s="137"/>
      <c r="B86" s="137" t="s">
        <v>72</v>
      </c>
      <c r="H86" s="210">
        <v>142849429</v>
      </c>
      <c r="I86" s="429"/>
      <c r="J86" s="430">
        <v>137804690</v>
      </c>
    </row>
    <row r="87" spans="1:10" ht="15">
      <c r="A87" s="137"/>
      <c r="B87" s="137" t="s">
        <v>868</v>
      </c>
      <c r="H87" s="211">
        <v>1316827</v>
      </c>
      <c r="I87" s="429"/>
      <c r="J87" s="512">
        <v>1450434</v>
      </c>
    </row>
    <row r="88" spans="1:10" ht="15">
      <c r="A88" s="137"/>
      <c r="B88" s="137" t="s">
        <v>189</v>
      </c>
      <c r="H88" s="212">
        <v>1449</v>
      </c>
      <c r="I88" s="429"/>
      <c r="J88" s="431">
        <v>955</v>
      </c>
    </row>
    <row r="89" spans="8:10" ht="15">
      <c r="H89" s="209">
        <f>SUM(H86:H88)</f>
        <v>144167705</v>
      </c>
      <c r="I89" s="429"/>
      <c r="J89" s="429">
        <f>SUM(J86:J88)</f>
        <v>139256079</v>
      </c>
    </row>
    <row r="90" spans="8:10" ht="15.75" thickBot="1">
      <c r="H90" s="213">
        <f>+H89+H83</f>
        <v>207574257</v>
      </c>
      <c r="I90" s="429"/>
      <c r="J90" s="434">
        <f>+J89+J83</f>
        <v>196312269</v>
      </c>
    </row>
    <row r="91" ht="10.5" customHeight="1" thickTop="1"/>
    <row r="92" spans="1:3" ht="15">
      <c r="A92" s="105" t="s">
        <v>235</v>
      </c>
      <c r="B92" s="302" t="s">
        <v>873</v>
      </c>
      <c r="C92" s="104"/>
    </row>
    <row r="93" ht="15">
      <c r="B93" s="9" t="s">
        <v>874</v>
      </c>
    </row>
    <row r="94" ht="10.5" customHeight="1"/>
    <row r="95" spans="8:10" ht="15">
      <c r="H95" s="23">
        <v>2006</v>
      </c>
      <c r="J95" s="17">
        <v>2005</v>
      </c>
    </row>
    <row r="96" spans="8:10" ht="15">
      <c r="H96" s="585" t="s">
        <v>137</v>
      </c>
      <c r="I96" s="585"/>
      <c r="J96" s="585"/>
    </row>
    <row r="97" ht="10.5" customHeight="1"/>
    <row r="98" spans="2:10" ht="15">
      <c r="B98" s="9" t="s">
        <v>362</v>
      </c>
      <c r="H98" s="23" t="s">
        <v>331</v>
      </c>
      <c r="I98" s="17"/>
      <c r="J98" s="17" t="s">
        <v>170</v>
      </c>
    </row>
    <row r="99" spans="2:10" ht="15">
      <c r="B99" s="9" t="s">
        <v>373</v>
      </c>
      <c r="H99" s="23" t="s">
        <v>644</v>
      </c>
      <c r="I99" s="17"/>
      <c r="J99" s="17" t="s">
        <v>644</v>
      </c>
    </row>
  </sheetData>
  <mergeCells count="2">
    <mergeCell ref="B69:J69"/>
    <mergeCell ref="H96:J96"/>
  </mergeCells>
  <printOptions/>
  <pageMargins left="0.75" right="0.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J733"/>
  <sheetViews>
    <sheetView view="pageBreakPreview" zoomScaleSheetLayoutView="100" workbookViewId="0" topLeftCell="A1">
      <selection activeCell="C48" sqref="C48"/>
    </sheetView>
  </sheetViews>
  <sheetFormatPr defaultColWidth="9.140625" defaultRowHeight="12.75"/>
  <cols>
    <col min="1" max="1" width="4.8515625" style="9" customWidth="1"/>
    <col min="2" max="2" width="1.421875" style="9" customWidth="1"/>
    <col min="3" max="3" width="47.00390625" style="9" customWidth="1"/>
    <col min="4" max="4" width="6.7109375" style="9" customWidth="1"/>
    <col min="5" max="5" width="13.7109375" style="9" customWidth="1"/>
    <col min="6" max="6" width="1.7109375" style="9" customWidth="1"/>
    <col min="7" max="7" width="13.7109375" style="9" customWidth="1"/>
    <col min="8" max="8" width="2.28125" style="9" customWidth="1"/>
    <col min="9" max="9" width="13.7109375" style="9" customWidth="1"/>
    <col min="10" max="10" width="10.28125" style="9" customWidth="1"/>
    <col min="11" max="16384" width="7.57421875" style="9" customWidth="1"/>
  </cols>
  <sheetData>
    <row r="1" spans="1:9" ht="15">
      <c r="A1" s="150" t="s">
        <v>85</v>
      </c>
      <c r="B1" s="144" t="s">
        <v>775</v>
      </c>
      <c r="E1" s="23">
        <v>2006</v>
      </c>
      <c r="G1" s="17">
        <v>2005</v>
      </c>
      <c r="I1" s="33"/>
    </row>
    <row r="2" spans="1:9" ht="15">
      <c r="A2" s="146"/>
      <c r="B2" s="30"/>
      <c r="D2" s="8"/>
      <c r="E2" s="562" t="s">
        <v>320</v>
      </c>
      <c r="F2" s="562"/>
      <c r="G2" s="562"/>
      <c r="I2" s="33"/>
    </row>
    <row r="3" ht="15" hidden="1">
      <c r="I3" s="33"/>
    </row>
    <row r="4" spans="1:8" ht="15">
      <c r="A4" s="137"/>
      <c r="B4" s="146"/>
      <c r="C4" s="137"/>
      <c r="D4" s="137"/>
      <c r="E4" s="144"/>
      <c r="F4" s="137"/>
      <c r="G4" s="137"/>
      <c r="H4" s="18"/>
    </row>
    <row r="5" spans="1:8" ht="15">
      <c r="A5" s="137"/>
      <c r="B5" s="144" t="s">
        <v>362</v>
      </c>
      <c r="C5" s="137"/>
      <c r="D5" s="137"/>
      <c r="E5" s="291"/>
      <c r="F5" s="152"/>
      <c r="G5" s="152"/>
      <c r="H5" s="18"/>
    </row>
    <row r="6" spans="1:8" ht="15">
      <c r="A6" s="137"/>
      <c r="B6" s="144"/>
      <c r="E6" s="141"/>
      <c r="G6" s="18"/>
      <c r="H6" s="25"/>
    </row>
    <row r="7" spans="1:8" ht="15">
      <c r="A7" s="137"/>
      <c r="B7" s="137" t="s">
        <v>772</v>
      </c>
      <c r="D7" s="5"/>
      <c r="E7" s="209">
        <v>27090450</v>
      </c>
      <c r="F7" s="429"/>
      <c r="G7" s="429">
        <v>26858250</v>
      </c>
      <c r="H7" s="25"/>
    </row>
    <row r="8" spans="1:8" ht="15">
      <c r="A8" s="137"/>
      <c r="B8" s="152" t="s">
        <v>289</v>
      </c>
      <c r="D8" s="5"/>
      <c r="E8" s="209">
        <v>15050250</v>
      </c>
      <c r="F8" s="429"/>
      <c r="G8" s="429">
        <v>14921250</v>
      </c>
      <c r="H8" s="25"/>
    </row>
    <row r="9" spans="1:8" ht="15">
      <c r="A9" s="137"/>
      <c r="B9" s="152" t="s">
        <v>189</v>
      </c>
      <c r="D9" s="5"/>
      <c r="E9" s="232">
        <v>12744930.901289994</v>
      </c>
      <c r="F9" s="429"/>
      <c r="G9" s="432">
        <v>4507185</v>
      </c>
      <c r="H9" s="25"/>
    </row>
    <row r="10" spans="1:9" ht="15">
      <c r="A10" s="137"/>
      <c r="B10" s="144"/>
      <c r="C10" s="153"/>
      <c r="D10" s="5"/>
      <c r="E10" s="209">
        <f>SUM(E7:E9)</f>
        <v>54885630.90128999</v>
      </c>
      <c r="F10" s="429"/>
      <c r="G10" s="231">
        <f>SUM(G7:G9)</f>
        <v>46286685</v>
      </c>
      <c r="H10" s="18"/>
      <c r="I10" s="14"/>
    </row>
    <row r="11" spans="1:8" ht="15">
      <c r="A11" s="137"/>
      <c r="B11" s="144" t="s">
        <v>373</v>
      </c>
      <c r="C11" s="153"/>
      <c r="D11" s="154"/>
      <c r="E11" s="209"/>
      <c r="F11" s="429"/>
      <c r="G11" s="429"/>
      <c r="H11" s="18"/>
    </row>
    <row r="12" spans="1:8" ht="15">
      <c r="A12" s="137"/>
      <c r="B12" s="144"/>
      <c r="C12" s="153"/>
      <c r="D12" s="137"/>
      <c r="E12" s="232"/>
      <c r="F12" s="429"/>
      <c r="G12" s="432"/>
      <c r="H12" s="18"/>
    </row>
    <row r="13" spans="1:10" ht="15">
      <c r="A13" s="137"/>
      <c r="B13" s="137" t="s">
        <v>774</v>
      </c>
      <c r="D13" s="51" t="s">
        <v>600</v>
      </c>
      <c r="E13" s="210">
        <v>23273267</v>
      </c>
      <c r="F13" s="429"/>
      <c r="G13" s="430">
        <v>23755341</v>
      </c>
      <c r="H13" s="18"/>
      <c r="J13" s="46"/>
    </row>
    <row r="14" spans="1:8" ht="15">
      <c r="A14" s="137"/>
      <c r="B14" s="137" t="s">
        <v>92</v>
      </c>
      <c r="D14" s="51" t="s">
        <v>601</v>
      </c>
      <c r="E14" s="211">
        <v>11012500</v>
      </c>
      <c r="F14" s="429"/>
      <c r="G14" s="512">
        <v>11012500</v>
      </c>
      <c r="H14" s="25"/>
    </row>
    <row r="15" spans="1:8" ht="15">
      <c r="A15" s="137"/>
      <c r="B15" s="9" t="s">
        <v>928</v>
      </c>
      <c r="D15" s="375"/>
      <c r="E15" s="212">
        <v>15469844</v>
      </c>
      <c r="F15" s="429"/>
      <c r="G15" s="431">
        <v>10074745</v>
      </c>
      <c r="H15" s="25"/>
    </row>
    <row r="16" spans="1:8" ht="15">
      <c r="A16" s="137"/>
      <c r="B16" s="144"/>
      <c r="C16" s="153"/>
      <c r="D16" s="137"/>
      <c r="E16" s="209">
        <f>SUM(E13:E15)</f>
        <v>49755611</v>
      </c>
      <c r="F16" s="429"/>
      <c r="G16" s="429">
        <f>SUM(G13:G15)</f>
        <v>44842586</v>
      </c>
      <c r="H16" s="25"/>
    </row>
    <row r="17" spans="1:8" ht="15.75" thickBot="1">
      <c r="A17" s="137"/>
      <c r="B17" s="144"/>
      <c r="C17" s="153"/>
      <c r="D17" s="137"/>
      <c r="E17" s="213">
        <f>E10+E16</f>
        <v>104641241.90129</v>
      </c>
      <c r="F17" s="429"/>
      <c r="G17" s="434">
        <f>+G16+G10</f>
        <v>91129271</v>
      </c>
      <c r="H17" s="18"/>
    </row>
    <row r="18" spans="1:8" ht="15.75" thickTop="1">
      <c r="A18" s="137"/>
      <c r="B18" s="144"/>
      <c r="C18" s="153"/>
      <c r="D18" s="137"/>
      <c r="E18" s="33"/>
      <c r="F18" s="33"/>
      <c r="G18" s="33"/>
      <c r="H18" s="18"/>
    </row>
    <row r="19" spans="1:8" ht="15">
      <c r="A19" s="105" t="s">
        <v>808</v>
      </c>
      <c r="B19" s="9" t="s">
        <v>371</v>
      </c>
      <c r="G19" s="33"/>
      <c r="H19" s="18"/>
    </row>
    <row r="20" spans="1:8" ht="15">
      <c r="A20" s="105"/>
      <c r="G20" s="33"/>
      <c r="H20" s="18"/>
    </row>
    <row r="21" spans="1:8" ht="15">
      <c r="A21" s="10"/>
      <c r="E21" s="23">
        <v>2006</v>
      </c>
      <c r="G21" s="17">
        <v>2005</v>
      </c>
      <c r="H21" s="18"/>
    </row>
    <row r="22" spans="1:8" ht="15">
      <c r="A22" s="10"/>
      <c r="E22" s="585" t="s">
        <v>137</v>
      </c>
      <c r="F22" s="585"/>
      <c r="G22" s="585"/>
      <c r="H22" s="18"/>
    </row>
    <row r="23" spans="1:8" ht="12" customHeight="1">
      <c r="A23" s="10"/>
      <c r="E23" s="33"/>
      <c r="G23" s="33"/>
      <c r="H23" s="18"/>
    </row>
    <row r="24" spans="1:8" ht="15">
      <c r="A24" s="10"/>
      <c r="B24" s="137" t="s">
        <v>772</v>
      </c>
      <c r="E24" s="23" t="s">
        <v>332</v>
      </c>
      <c r="F24" s="33"/>
      <c r="G24" s="17" t="s">
        <v>171</v>
      </c>
      <c r="H24" s="18"/>
    </row>
    <row r="25" spans="1:8" ht="15">
      <c r="A25" s="10"/>
      <c r="B25" s="137" t="s">
        <v>773</v>
      </c>
      <c r="E25" s="23" t="s">
        <v>388</v>
      </c>
      <c r="F25" s="33"/>
      <c r="G25" s="17" t="s">
        <v>172</v>
      </c>
      <c r="H25" s="18"/>
    </row>
    <row r="26" spans="1:8" ht="15">
      <c r="A26" s="152"/>
      <c r="B26" s="152"/>
      <c r="C26" s="152"/>
      <c r="D26" s="152"/>
      <c r="E26" s="155"/>
      <c r="F26" s="152"/>
      <c r="G26" s="152"/>
      <c r="H26" s="18"/>
    </row>
    <row r="27" spans="1:8" ht="15">
      <c r="A27" s="150" t="s">
        <v>600</v>
      </c>
      <c r="B27" s="152" t="s">
        <v>0</v>
      </c>
      <c r="C27" s="152"/>
      <c r="D27" s="152"/>
      <c r="E27" s="152"/>
      <c r="F27" s="152"/>
      <c r="G27" s="152"/>
      <c r="H27" s="18"/>
    </row>
    <row r="28" spans="1:8" ht="15">
      <c r="A28" s="152"/>
      <c r="B28" s="152" t="s">
        <v>1</v>
      </c>
      <c r="C28" s="152"/>
      <c r="D28" s="152"/>
      <c r="E28" s="152"/>
      <c r="F28" s="152"/>
      <c r="G28" s="152"/>
      <c r="H28" s="18"/>
    </row>
    <row r="29" spans="1:8" ht="15">
      <c r="A29" s="152"/>
      <c r="B29" s="152"/>
      <c r="C29" s="152"/>
      <c r="D29" s="152"/>
      <c r="E29" s="152"/>
      <c r="F29" s="152"/>
      <c r="G29" s="152"/>
      <c r="H29" s="18"/>
    </row>
    <row r="30" spans="1:8" ht="15">
      <c r="A30" s="110" t="s">
        <v>601</v>
      </c>
      <c r="B30" s="152" t="s">
        <v>20</v>
      </c>
      <c r="C30" s="152"/>
      <c r="D30" s="152"/>
      <c r="E30" s="152"/>
      <c r="F30" s="152"/>
      <c r="G30" s="152"/>
      <c r="H30" s="18"/>
    </row>
    <row r="31" spans="1:8" ht="15">
      <c r="A31" s="152"/>
      <c r="B31" s="152" t="s">
        <v>21</v>
      </c>
      <c r="C31" s="152"/>
      <c r="D31" s="152"/>
      <c r="E31" s="152"/>
      <c r="F31" s="152"/>
      <c r="G31" s="152"/>
      <c r="H31" s="18"/>
    </row>
    <row r="32" spans="1:8" ht="15">
      <c r="A32" s="152"/>
      <c r="B32" s="152" t="s">
        <v>22</v>
      </c>
      <c r="C32" s="152"/>
      <c r="D32" s="152"/>
      <c r="E32" s="152"/>
      <c r="F32" s="152"/>
      <c r="G32" s="152"/>
      <c r="H32" s="18"/>
    </row>
    <row r="33" spans="1:8" ht="15">
      <c r="A33" s="152"/>
      <c r="B33" s="152"/>
      <c r="C33" s="152"/>
      <c r="D33" s="152"/>
      <c r="E33" s="152"/>
      <c r="F33" s="152"/>
      <c r="G33" s="152"/>
      <c r="H33" s="18"/>
    </row>
    <row r="34" spans="1:8" ht="15">
      <c r="A34" s="105" t="s">
        <v>87</v>
      </c>
      <c r="B34" s="10" t="s">
        <v>222</v>
      </c>
      <c r="C34" s="152"/>
      <c r="D34" s="152"/>
      <c r="E34" s="23">
        <v>2006</v>
      </c>
      <c r="G34" s="17">
        <v>2005</v>
      </c>
      <c r="H34" s="18"/>
    </row>
    <row r="35" spans="1:8" ht="15">
      <c r="A35" s="152"/>
      <c r="B35" s="155" t="s">
        <v>509</v>
      </c>
      <c r="C35" s="152"/>
      <c r="D35" s="152"/>
      <c r="E35" s="562" t="s">
        <v>320</v>
      </c>
      <c r="F35" s="562"/>
      <c r="G35" s="562"/>
      <c r="H35" s="18"/>
    </row>
    <row r="36" spans="1:8" ht="15">
      <c r="A36" s="152"/>
      <c r="B36" s="152"/>
      <c r="C36" s="152"/>
      <c r="D36" s="152"/>
      <c r="E36" s="152"/>
      <c r="F36" s="152"/>
      <c r="G36" s="152"/>
      <c r="H36" s="18"/>
    </row>
    <row r="37" spans="1:8" ht="15">
      <c r="A37" s="152"/>
      <c r="B37" s="9" t="s">
        <v>71</v>
      </c>
      <c r="E37" s="152"/>
      <c r="F37" s="152"/>
      <c r="G37" s="152"/>
      <c r="H37" s="18"/>
    </row>
    <row r="38" spans="1:8" ht="15">
      <c r="A38" s="152"/>
      <c r="B38" s="152"/>
      <c r="E38" s="152"/>
      <c r="F38" s="152"/>
      <c r="G38" s="152"/>
      <c r="H38" s="18"/>
    </row>
    <row r="39" spans="1:8" ht="15">
      <c r="A39" s="152"/>
      <c r="B39" s="28" t="s">
        <v>347</v>
      </c>
      <c r="D39" s="51" t="s">
        <v>602</v>
      </c>
      <c r="E39" s="209">
        <v>3943563.9211800005</v>
      </c>
      <c r="F39" s="429"/>
      <c r="G39" s="429">
        <v>7814222</v>
      </c>
      <c r="H39" s="18"/>
    </row>
    <row r="40" spans="1:8" ht="15">
      <c r="A40" s="152"/>
      <c r="B40" s="28" t="s">
        <v>348</v>
      </c>
      <c r="D40" s="51"/>
      <c r="E40" s="232">
        <v>85922647.104</v>
      </c>
      <c r="F40" s="429"/>
      <c r="G40" s="432">
        <v>88839730</v>
      </c>
      <c r="H40" s="18"/>
    </row>
    <row r="41" spans="1:8" ht="15">
      <c r="A41" s="152"/>
      <c r="B41" s="152"/>
      <c r="C41" s="28"/>
      <c r="E41" s="206">
        <f>SUM(E39:E40)</f>
        <v>89866211.02518</v>
      </c>
      <c r="F41" s="95"/>
      <c r="G41" s="95">
        <f>SUM(G39:G40)</f>
        <v>96653952</v>
      </c>
      <c r="H41" s="18"/>
    </row>
    <row r="42" spans="1:8" ht="15">
      <c r="A42" s="152"/>
      <c r="B42" s="152"/>
      <c r="C42" s="28"/>
      <c r="E42" s="206"/>
      <c r="F42" s="95"/>
      <c r="G42" s="95"/>
      <c r="H42" s="18"/>
    </row>
    <row r="43" spans="1:7" ht="15">
      <c r="A43" s="137"/>
      <c r="B43" s="9" t="s">
        <v>846</v>
      </c>
      <c r="E43" s="206">
        <v>29.24186</v>
      </c>
      <c r="F43" s="95"/>
      <c r="G43" s="95">
        <v>29</v>
      </c>
    </row>
    <row r="44" spans="1:7" ht="15.75" thickBot="1">
      <c r="A44" s="137"/>
      <c r="B44" s="137"/>
      <c r="C44" s="137"/>
      <c r="E44" s="213">
        <f>SUM(E41:E43)</f>
        <v>89866240.26704</v>
      </c>
      <c r="F44" s="95"/>
      <c r="G44" s="434">
        <f>SUM(G41:G43)</f>
        <v>96653981</v>
      </c>
    </row>
    <row r="45" spans="1:7" ht="15.75" thickTop="1">
      <c r="A45" s="137"/>
      <c r="B45" s="137"/>
      <c r="C45" s="137"/>
      <c r="D45" s="137"/>
      <c r="E45" s="137"/>
      <c r="F45" s="137"/>
      <c r="G45" s="137"/>
    </row>
    <row r="46" spans="1:7" ht="15">
      <c r="A46" s="150" t="s">
        <v>602</v>
      </c>
      <c r="B46" s="104" t="s">
        <v>343</v>
      </c>
      <c r="C46" s="137"/>
      <c r="D46" s="137"/>
      <c r="E46" s="137"/>
      <c r="F46" s="137"/>
      <c r="G46" s="137"/>
    </row>
    <row r="47" spans="1:7" ht="15">
      <c r="A47" s="137"/>
      <c r="B47" s="137"/>
      <c r="C47" s="137"/>
      <c r="D47" s="137"/>
      <c r="E47" s="137"/>
      <c r="F47" s="137"/>
      <c r="G47" s="137"/>
    </row>
    <row r="48" spans="1:7" ht="15">
      <c r="A48" s="137"/>
      <c r="B48" s="137"/>
      <c r="C48" s="137"/>
      <c r="D48" s="137"/>
      <c r="E48" s="137"/>
      <c r="F48" s="137"/>
      <c r="G48" s="137"/>
    </row>
    <row r="49" spans="1:7" ht="15">
      <c r="A49" s="137"/>
      <c r="B49" s="137"/>
      <c r="C49" s="137"/>
      <c r="D49" s="137"/>
      <c r="E49" s="137"/>
      <c r="F49" s="137"/>
      <c r="G49" s="137"/>
    </row>
    <row r="50" spans="1:7" ht="15">
      <c r="A50" s="137"/>
      <c r="B50" s="137"/>
      <c r="C50" s="137"/>
      <c r="D50" s="137"/>
      <c r="E50" s="137"/>
      <c r="F50" s="137"/>
      <c r="G50" s="137"/>
    </row>
    <row r="51" spans="1:7" ht="15">
      <c r="A51" s="137"/>
      <c r="B51" s="137"/>
      <c r="C51" s="137"/>
      <c r="D51" s="137"/>
      <c r="E51" s="137"/>
      <c r="F51" s="137"/>
      <c r="G51" s="137"/>
    </row>
    <row r="52" spans="1:7" ht="15">
      <c r="A52" s="137"/>
      <c r="B52" s="137"/>
      <c r="C52" s="137"/>
      <c r="D52" s="137"/>
      <c r="E52" s="137"/>
      <c r="F52" s="137"/>
      <c r="G52" s="137"/>
    </row>
    <row r="53" spans="1:7" ht="15">
      <c r="A53" s="137"/>
      <c r="B53" s="137"/>
      <c r="C53" s="137"/>
      <c r="D53" s="137"/>
      <c r="E53" s="137"/>
      <c r="F53" s="137"/>
      <c r="G53" s="137"/>
    </row>
    <row r="54" spans="1:7" ht="15">
      <c r="A54" s="137"/>
      <c r="B54" s="137"/>
      <c r="C54" s="137"/>
      <c r="D54" s="137"/>
      <c r="E54" s="137"/>
      <c r="F54" s="137"/>
      <c r="G54" s="137"/>
    </row>
    <row r="55" spans="1:7" ht="15">
      <c r="A55" s="137"/>
      <c r="B55" s="137"/>
      <c r="C55" s="137"/>
      <c r="D55" s="137"/>
      <c r="E55" s="137"/>
      <c r="F55" s="137"/>
      <c r="G55" s="137"/>
    </row>
    <row r="56" spans="1:7" ht="15">
      <c r="A56" s="137"/>
      <c r="B56" s="137"/>
      <c r="C56" s="137"/>
      <c r="D56" s="137"/>
      <c r="E56" s="137"/>
      <c r="F56" s="137"/>
      <c r="G56" s="137"/>
    </row>
    <row r="57" spans="1:7" ht="15">
      <c r="A57" s="137"/>
      <c r="B57" s="137"/>
      <c r="C57" s="137"/>
      <c r="D57" s="137"/>
      <c r="E57" s="137"/>
      <c r="F57" s="137"/>
      <c r="G57" s="137"/>
    </row>
    <row r="58" spans="1:7" ht="15">
      <c r="A58" s="137"/>
      <c r="B58" s="137"/>
      <c r="C58" s="137"/>
      <c r="D58" s="137"/>
      <c r="E58" s="137"/>
      <c r="F58" s="137"/>
      <c r="G58" s="137"/>
    </row>
    <row r="59" spans="1:7" ht="15">
      <c r="A59" s="137"/>
      <c r="B59" s="137"/>
      <c r="C59" s="137"/>
      <c r="D59" s="137"/>
      <c r="E59" s="137"/>
      <c r="F59" s="137"/>
      <c r="G59" s="137"/>
    </row>
    <row r="60" spans="1:7" ht="15">
      <c r="A60" s="137"/>
      <c r="B60" s="137"/>
      <c r="C60" s="137"/>
      <c r="D60" s="137"/>
      <c r="E60" s="137"/>
      <c r="F60" s="137"/>
      <c r="G60" s="137"/>
    </row>
    <row r="61" spans="1:7" ht="15">
      <c r="A61" s="137"/>
      <c r="B61" s="137"/>
      <c r="C61" s="137"/>
      <c r="D61" s="137"/>
      <c r="E61" s="137"/>
      <c r="F61" s="137"/>
      <c r="G61" s="137"/>
    </row>
    <row r="62" spans="1:7" ht="15">
      <c r="A62" s="137"/>
      <c r="B62" s="137"/>
      <c r="C62" s="137"/>
      <c r="D62" s="137"/>
      <c r="E62" s="137"/>
      <c r="F62" s="137"/>
      <c r="G62" s="137"/>
    </row>
    <row r="63" spans="1:7" ht="15">
      <c r="A63" s="137"/>
      <c r="B63" s="137"/>
      <c r="C63" s="137"/>
      <c r="D63" s="137"/>
      <c r="E63" s="137"/>
      <c r="F63" s="137"/>
      <c r="G63" s="137"/>
    </row>
    <row r="64" spans="1:7" ht="15">
      <c r="A64" s="137"/>
      <c r="B64" s="137"/>
      <c r="C64" s="137"/>
      <c r="D64" s="137"/>
      <c r="E64" s="137"/>
      <c r="F64" s="137"/>
      <c r="G64" s="137"/>
    </row>
    <row r="65" spans="1:7" ht="15">
      <c r="A65" s="137"/>
      <c r="B65" s="137"/>
      <c r="C65" s="137"/>
      <c r="D65" s="137"/>
      <c r="E65" s="137"/>
      <c r="F65" s="137"/>
      <c r="G65" s="137"/>
    </row>
    <row r="66" spans="1:7" ht="15">
      <c r="A66" s="137"/>
      <c r="B66" s="137"/>
      <c r="C66" s="137"/>
      <c r="D66" s="137"/>
      <c r="E66" s="137"/>
      <c r="F66" s="137"/>
      <c r="G66" s="137"/>
    </row>
    <row r="67" spans="1:7" ht="15">
      <c r="A67" s="137"/>
      <c r="B67" s="137"/>
      <c r="C67" s="137"/>
      <c r="D67" s="137"/>
      <c r="E67" s="137"/>
      <c r="F67" s="137"/>
      <c r="G67" s="137"/>
    </row>
    <row r="68" spans="1:7" ht="15">
      <c r="A68" s="137"/>
      <c r="B68" s="137"/>
      <c r="C68" s="137"/>
      <c r="D68" s="137"/>
      <c r="E68" s="137"/>
      <c r="F68" s="137"/>
      <c r="G68" s="137"/>
    </row>
    <row r="69" spans="1:7" ht="15">
      <c r="A69" s="137"/>
      <c r="B69" s="137"/>
      <c r="C69" s="137"/>
      <c r="D69" s="137"/>
      <c r="E69" s="137"/>
      <c r="F69" s="137"/>
      <c r="G69" s="137"/>
    </row>
    <row r="70" spans="1:7" ht="15">
      <c r="A70" s="137"/>
      <c r="B70" s="137"/>
      <c r="C70" s="137"/>
      <c r="D70" s="137"/>
      <c r="E70" s="137"/>
      <c r="F70" s="137"/>
      <c r="G70" s="137"/>
    </row>
    <row r="71" spans="1:7" ht="15">
      <c r="A71" s="137"/>
      <c r="B71" s="137"/>
      <c r="C71" s="137"/>
      <c r="D71" s="137"/>
      <c r="E71" s="137"/>
      <c r="F71" s="137"/>
      <c r="G71" s="137"/>
    </row>
    <row r="72" spans="1:7" ht="15">
      <c r="A72" s="137"/>
      <c r="B72" s="137"/>
      <c r="C72" s="137"/>
      <c r="D72" s="137"/>
      <c r="E72" s="137"/>
      <c r="F72" s="137"/>
      <c r="G72" s="137"/>
    </row>
    <row r="73" spans="1:7" ht="15">
      <c r="A73" s="137"/>
      <c r="B73" s="137"/>
      <c r="C73" s="137"/>
      <c r="D73" s="137"/>
      <c r="E73" s="137"/>
      <c r="F73" s="137"/>
      <c r="G73" s="137"/>
    </row>
    <row r="74" spans="1:7" ht="15">
      <c r="A74" s="137"/>
      <c r="B74" s="137"/>
      <c r="C74" s="137"/>
      <c r="D74" s="137"/>
      <c r="E74" s="137"/>
      <c r="F74" s="137"/>
      <c r="G74" s="137"/>
    </row>
    <row r="75" spans="1:7" ht="15">
      <c r="A75" s="137"/>
      <c r="B75" s="137"/>
      <c r="C75" s="137"/>
      <c r="D75" s="137"/>
      <c r="E75" s="137"/>
      <c r="F75" s="137"/>
      <c r="G75" s="137"/>
    </row>
    <row r="76" spans="1:7" ht="15">
      <c r="A76" s="137"/>
      <c r="B76" s="137"/>
      <c r="C76" s="137"/>
      <c r="D76" s="137"/>
      <c r="E76" s="137"/>
      <c r="F76" s="137"/>
      <c r="G76" s="137"/>
    </row>
    <row r="77" spans="1:7" ht="15">
      <c r="A77" s="137"/>
      <c r="B77" s="137"/>
      <c r="C77" s="137"/>
      <c r="D77" s="137"/>
      <c r="E77" s="137"/>
      <c r="F77" s="137"/>
      <c r="G77" s="137"/>
    </row>
    <row r="78" spans="1:7" ht="15">
      <c r="A78" s="137"/>
      <c r="B78" s="137"/>
      <c r="C78" s="137"/>
      <c r="D78" s="137"/>
      <c r="E78" s="137"/>
      <c r="F78" s="137"/>
      <c r="G78" s="137"/>
    </row>
    <row r="79" spans="1:7" ht="15">
      <c r="A79" s="137"/>
      <c r="B79" s="137"/>
      <c r="C79" s="137"/>
      <c r="D79" s="137"/>
      <c r="E79" s="137"/>
      <c r="F79" s="137"/>
      <c r="G79" s="137"/>
    </row>
    <row r="80" spans="1:7" ht="15">
      <c r="A80" s="137"/>
      <c r="B80" s="137"/>
      <c r="C80" s="137"/>
      <c r="D80" s="137"/>
      <c r="E80" s="137"/>
      <c r="F80" s="137"/>
      <c r="G80" s="137"/>
    </row>
    <row r="81" spans="1:7" ht="15">
      <c r="A81" s="137"/>
      <c r="B81" s="137"/>
      <c r="C81" s="137"/>
      <c r="D81" s="137"/>
      <c r="E81" s="137"/>
      <c r="F81" s="137"/>
      <c r="G81" s="137"/>
    </row>
    <row r="82" spans="1:7" ht="15">
      <c r="A82" s="137"/>
      <c r="B82" s="137"/>
      <c r="C82" s="137"/>
      <c r="D82" s="137"/>
      <c r="E82" s="137"/>
      <c r="F82" s="137"/>
      <c r="G82" s="137"/>
    </row>
    <row r="83" spans="1:7" ht="15">
      <c r="A83" s="137"/>
      <c r="B83" s="137"/>
      <c r="C83" s="137"/>
      <c r="D83" s="137"/>
      <c r="E83" s="137"/>
      <c r="F83" s="137"/>
      <c r="G83" s="137"/>
    </row>
    <row r="84" spans="1:7" ht="15">
      <c r="A84" s="137"/>
      <c r="B84" s="137"/>
      <c r="C84" s="137"/>
      <c r="D84" s="137"/>
      <c r="E84" s="137"/>
      <c r="F84" s="137"/>
      <c r="G84" s="137"/>
    </row>
    <row r="85" spans="1:7" ht="15">
      <c r="A85" s="137"/>
      <c r="B85" s="137"/>
      <c r="C85" s="137"/>
      <c r="D85" s="137"/>
      <c r="E85" s="137"/>
      <c r="F85" s="137"/>
      <c r="G85" s="137"/>
    </row>
    <row r="86" spans="1:7" ht="15">
      <c r="A86" s="137"/>
      <c r="B86" s="137"/>
      <c r="C86" s="137"/>
      <c r="D86" s="137"/>
      <c r="E86" s="137"/>
      <c r="F86" s="137"/>
      <c r="G86" s="137"/>
    </row>
    <row r="87" spans="1:7" ht="15">
      <c r="A87" s="137"/>
      <c r="B87" s="137"/>
      <c r="C87" s="137"/>
      <c r="D87" s="137"/>
      <c r="E87" s="137"/>
      <c r="F87" s="137"/>
      <c r="G87" s="137"/>
    </row>
    <row r="88" spans="1:7" ht="15">
      <c r="A88" s="137"/>
      <c r="B88" s="137"/>
      <c r="C88" s="137"/>
      <c r="D88" s="137"/>
      <c r="E88" s="137"/>
      <c r="F88" s="137"/>
      <c r="G88" s="137"/>
    </row>
    <row r="89" spans="1:7" ht="15">
      <c r="A89" s="137"/>
      <c r="B89" s="137"/>
      <c r="C89" s="137"/>
      <c r="D89" s="137"/>
      <c r="E89" s="137"/>
      <c r="F89" s="137"/>
      <c r="G89" s="137"/>
    </row>
    <row r="90" spans="1:7" ht="15">
      <c r="A90" s="137"/>
      <c r="B90" s="137"/>
      <c r="C90" s="137"/>
      <c r="D90" s="137"/>
      <c r="E90" s="137"/>
      <c r="F90" s="137"/>
      <c r="G90" s="137"/>
    </row>
    <row r="91" spans="1:7" ht="15">
      <c r="A91" s="137"/>
      <c r="B91" s="137"/>
      <c r="C91" s="137"/>
      <c r="D91" s="137"/>
      <c r="E91" s="137"/>
      <c r="F91" s="137"/>
      <c r="G91" s="137"/>
    </row>
    <row r="92" spans="1:7" ht="15">
      <c r="A92" s="137"/>
      <c r="B92" s="137"/>
      <c r="C92" s="137"/>
      <c r="D92" s="137"/>
      <c r="E92" s="137"/>
      <c r="F92" s="137"/>
      <c r="G92" s="137"/>
    </row>
    <row r="93" spans="1:7" ht="15">
      <c r="A93" s="137"/>
      <c r="B93" s="137"/>
      <c r="C93" s="137"/>
      <c r="D93" s="137"/>
      <c r="E93" s="137"/>
      <c r="F93" s="137"/>
      <c r="G93" s="137"/>
    </row>
    <row r="94" spans="1:7" ht="15">
      <c r="A94" s="137"/>
      <c r="B94" s="137"/>
      <c r="C94" s="137"/>
      <c r="D94" s="137"/>
      <c r="E94" s="137"/>
      <c r="F94" s="137"/>
      <c r="G94" s="137"/>
    </row>
    <row r="95" spans="1:7" ht="15">
      <c r="A95" s="137"/>
      <c r="B95" s="137"/>
      <c r="C95" s="137"/>
      <c r="D95" s="137"/>
      <c r="E95" s="137"/>
      <c r="F95" s="137"/>
      <c r="G95" s="137"/>
    </row>
    <row r="96" spans="1:7" ht="15">
      <c r="A96" s="137"/>
      <c r="B96" s="137"/>
      <c r="C96" s="137"/>
      <c r="D96" s="137"/>
      <c r="E96" s="137"/>
      <c r="F96" s="137"/>
      <c r="G96" s="137"/>
    </row>
    <row r="97" spans="1:7" ht="15">
      <c r="A97" s="137"/>
      <c r="B97" s="137"/>
      <c r="C97" s="137"/>
      <c r="D97" s="137"/>
      <c r="E97" s="137"/>
      <c r="F97" s="137"/>
      <c r="G97" s="137"/>
    </row>
    <row r="98" spans="1:7" ht="15">
      <c r="A98" s="137"/>
      <c r="B98" s="137"/>
      <c r="C98" s="137"/>
      <c r="D98" s="137"/>
      <c r="E98" s="137"/>
      <c r="F98" s="137"/>
      <c r="G98" s="137"/>
    </row>
    <row r="99" spans="1:7" ht="15">
      <c r="A99" s="137"/>
      <c r="B99" s="137"/>
      <c r="C99" s="137"/>
      <c r="D99" s="137"/>
      <c r="E99" s="137"/>
      <c r="F99" s="137"/>
      <c r="G99" s="137"/>
    </row>
    <row r="100" spans="1:7" ht="15">
      <c r="A100" s="137"/>
      <c r="B100" s="137"/>
      <c r="C100" s="137"/>
      <c r="D100" s="137"/>
      <c r="E100" s="137"/>
      <c r="F100" s="137"/>
      <c r="G100" s="137"/>
    </row>
    <row r="101" spans="1:7" ht="15">
      <c r="A101" s="137"/>
      <c r="B101" s="137"/>
      <c r="C101" s="137"/>
      <c r="D101" s="137"/>
      <c r="E101" s="137"/>
      <c r="F101" s="137"/>
      <c r="G101" s="137"/>
    </row>
    <row r="102" spans="1:7" ht="15">
      <c r="A102" s="137"/>
      <c r="B102" s="137"/>
      <c r="C102" s="137"/>
      <c r="D102" s="137"/>
      <c r="E102" s="137"/>
      <c r="F102" s="137"/>
      <c r="G102" s="137"/>
    </row>
    <row r="103" spans="1:7" ht="15">
      <c r="A103" s="137"/>
      <c r="B103" s="137"/>
      <c r="C103" s="137"/>
      <c r="D103" s="137"/>
      <c r="E103" s="137"/>
      <c r="F103" s="137"/>
      <c r="G103" s="137"/>
    </row>
    <row r="104" spans="1:7" ht="15">
      <c r="A104" s="137"/>
      <c r="B104" s="137"/>
      <c r="C104" s="137"/>
      <c r="D104" s="137"/>
      <c r="E104" s="137"/>
      <c r="F104" s="137"/>
      <c r="G104" s="137"/>
    </row>
    <row r="105" spans="1:7" ht="15">
      <c r="A105" s="137"/>
      <c r="B105" s="137"/>
      <c r="C105" s="137"/>
      <c r="D105" s="137"/>
      <c r="E105" s="137"/>
      <c r="F105" s="137"/>
      <c r="G105" s="137"/>
    </row>
    <row r="106" spans="1:7" ht="15">
      <c r="A106" s="137"/>
      <c r="B106" s="137"/>
      <c r="C106" s="137"/>
      <c r="D106" s="137"/>
      <c r="E106" s="137"/>
      <c r="F106" s="137"/>
      <c r="G106" s="137"/>
    </row>
    <row r="107" spans="1:7" ht="15">
      <c r="A107" s="137"/>
      <c r="B107" s="137"/>
      <c r="C107" s="137"/>
      <c r="D107" s="137"/>
      <c r="E107" s="137"/>
      <c r="F107" s="137"/>
      <c r="G107" s="137"/>
    </row>
    <row r="108" spans="1:7" ht="15">
      <c r="A108" s="137"/>
      <c r="B108" s="137"/>
      <c r="C108" s="137"/>
      <c r="D108" s="137"/>
      <c r="E108" s="137"/>
      <c r="F108" s="137"/>
      <c r="G108" s="137"/>
    </row>
    <row r="109" spans="1:7" ht="15">
      <c r="A109" s="137"/>
      <c r="B109" s="137"/>
      <c r="C109" s="137"/>
      <c r="D109" s="137"/>
      <c r="E109" s="137"/>
      <c r="F109" s="137"/>
      <c r="G109" s="137"/>
    </row>
    <row r="110" spans="1:7" ht="15">
      <c r="A110" s="137"/>
      <c r="B110" s="137"/>
      <c r="C110" s="137"/>
      <c r="D110" s="137"/>
      <c r="E110" s="137"/>
      <c r="F110" s="137"/>
      <c r="G110" s="137"/>
    </row>
    <row r="111" spans="1:7" ht="15">
      <c r="A111" s="137"/>
      <c r="B111" s="137"/>
      <c r="C111" s="137"/>
      <c r="D111" s="137"/>
      <c r="E111" s="137"/>
      <c r="F111" s="137"/>
      <c r="G111" s="137"/>
    </row>
    <row r="112" spans="1:7" ht="15">
      <c r="A112" s="137"/>
      <c r="B112" s="137"/>
      <c r="C112" s="137"/>
      <c r="D112" s="137"/>
      <c r="E112" s="137"/>
      <c r="F112" s="137"/>
      <c r="G112" s="137"/>
    </row>
    <row r="113" spans="1:7" ht="15">
      <c r="A113" s="137"/>
      <c r="B113" s="137"/>
      <c r="C113" s="137"/>
      <c r="D113" s="137"/>
      <c r="E113" s="137"/>
      <c r="F113" s="137"/>
      <c r="G113" s="137"/>
    </row>
    <row r="114" spans="1:7" ht="15">
      <c r="A114" s="137"/>
      <c r="B114" s="137"/>
      <c r="C114" s="137"/>
      <c r="D114" s="137"/>
      <c r="E114" s="137"/>
      <c r="F114" s="137"/>
      <c r="G114" s="137"/>
    </row>
    <row r="115" spans="1:7" ht="15">
      <c r="A115" s="137"/>
      <c r="B115" s="137"/>
      <c r="C115" s="137"/>
      <c r="D115" s="137"/>
      <c r="E115" s="137"/>
      <c r="F115" s="137"/>
      <c r="G115" s="137"/>
    </row>
    <row r="116" spans="1:7" ht="15">
      <c r="A116" s="137"/>
      <c r="B116" s="137"/>
      <c r="C116" s="137"/>
      <c r="D116" s="137"/>
      <c r="E116" s="137"/>
      <c r="F116" s="137"/>
      <c r="G116" s="137"/>
    </row>
    <row r="117" spans="1:7" ht="15">
      <c r="A117" s="137"/>
      <c r="B117" s="137"/>
      <c r="C117" s="137"/>
      <c r="D117" s="137"/>
      <c r="E117" s="137"/>
      <c r="F117" s="137"/>
      <c r="G117" s="137"/>
    </row>
    <row r="118" spans="1:7" ht="15">
      <c r="A118" s="137"/>
      <c r="B118" s="137"/>
      <c r="C118" s="137"/>
      <c r="D118" s="137"/>
      <c r="E118" s="137"/>
      <c r="F118" s="137"/>
      <c r="G118" s="137"/>
    </row>
    <row r="119" spans="1:7" ht="15">
      <c r="A119" s="137"/>
      <c r="B119" s="137"/>
      <c r="C119" s="137"/>
      <c r="D119" s="137"/>
      <c r="E119" s="137"/>
      <c r="F119" s="137"/>
      <c r="G119" s="137"/>
    </row>
    <row r="120" spans="1:7" ht="15">
      <c r="A120" s="137"/>
      <c r="B120" s="137"/>
      <c r="C120" s="137"/>
      <c r="D120" s="137"/>
      <c r="E120" s="137"/>
      <c r="F120" s="137"/>
      <c r="G120" s="137"/>
    </row>
    <row r="121" spans="1:7" ht="15">
      <c r="A121" s="137"/>
      <c r="B121" s="137"/>
      <c r="C121" s="137"/>
      <c r="D121" s="137"/>
      <c r="E121" s="137"/>
      <c r="F121" s="137"/>
      <c r="G121" s="137"/>
    </row>
    <row r="122" spans="1:7" ht="15">
      <c r="A122" s="137"/>
      <c r="B122" s="137"/>
      <c r="C122" s="137"/>
      <c r="D122" s="137"/>
      <c r="E122" s="137"/>
      <c r="F122" s="137"/>
      <c r="G122" s="137"/>
    </row>
    <row r="123" spans="1:7" ht="15">
      <c r="A123" s="137"/>
      <c r="B123" s="137"/>
      <c r="C123" s="137"/>
      <c r="D123" s="137"/>
      <c r="E123" s="137"/>
      <c r="F123" s="137"/>
      <c r="G123" s="137"/>
    </row>
    <row r="124" spans="1:7" ht="15">
      <c r="A124" s="137"/>
      <c r="B124" s="137"/>
      <c r="C124" s="137"/>
      <c r="D124" s="137"/>
      <c r="E124" s="137"/>
      <c r="F124" s="137"/>
      <c r="G124" s="137"/>
    </row>
    <row r="125" spans="1:7" ht="15">
      <c r="A125" s="137"/>
      <c r="B125" s="137"/>
      <c r="C125" s="137"/>
      <c r="D125" s="137"/>
      <c r="E125" s="137"/>
      <c r="F125" s="137"/>
      <c r="G125" s="137"/>
    </row>
    <row r="126" spans="1:7" ht="15">
      <c r="A126" s="137"/>
      <c r="B126" s="137"/>
      <c r="C126" s="137"/>
      <c r="D126" s="137"/>
      <c r="E126" s="137"/>
      <c r="F126" s="137"/>
      <c r="G126" s="137"/>
    </row>
    <row r="127" spans="1:7" ht="15">
      <c r="A127" s="137"/>
      <c r="B127" s="137"/>
      <c r="C127" s="137"/>
      <c r="D127" s="137"/>
      <c r="E127" s="137"/>
      <c r="F127" s="137"/>
      <c r="G127" s="137"/>
    </row>
    <row r="128" spans="1:7" ht="15">
      <c r="A128" s="137"/>
      <c r="B128" s="137"/>
      <c r="C128" s="137"/>
      <c r="D128" s="137"/>
      <c r="E128" s="137"/>
      <c r="F128" s="137"/>
      <c r="G128" s="137"/>
    </row>
    <row r="129" spans="1:7" ht="15">
      <c r="A129" s="137"/>
      <c r="B129" s="137"/>
      <c r="C129" s="137"/>
      <c r="D129" s="137"/>
      <c r="E129" s="137"/>
      <c r="F129" s="137"/>
      <c r="G129" s="137"/>
    </row>
    <row r="130" spans="1:7" ht="15">
      <c r="A130" s="137"/>
      <c r="B130" s="137"/>
      <c r="C130" s="137"/>
      <c r="D130" s="137"/>
      <c r="E130" s="137"/>
      <c r="F130" s="137"/>
      <c r="G130" s="137"/>
    </row>
    <row r="131" spans="1:7" ht="15">
      <c r="A131" s="137"/>
      <c r="B131" s="137"/>
      <c r="C131" s="137"/>
      <c r="D131" s="137"/>
      <c r="E131" s="137"/>
      <c r="F131" s="137"/>
      <c r="G131" s="137"/>
    </row>
    <row r="132" spans="1:7" ht="15">
      <c r="A132" s="137"/>
      <c r="B132" s="137"/>
      <c r="C132" s="137"/>
      <c r="D132" s="137"/>
      <c r="E132" s="137"/>
      <c r="F132" s="137"/>
      <c r="G132" s="137"/>
    </row>
    <row r="133" spans="1:7" ht="15">
      <c r="A133" s="137"/>
      <c r="B133" s="137"/>
      <c r="C133" s="137"/>
      <c r="D133" s="137"/>
      <c r="E133" s="137"/>
      <c r="F133" s="137"/>
      <c r="G133" s="137"/>
    </row>
    <row r="134" spans="1:7" ht="15">
      <c r="A134" s="137"/>
      <c r="B134" s="137"/>
      <c r="C134" s="137"/>
      <c r="D134" s="137"/>
      <c r="E134" s="137"/>
      <c r="F134" s="137"/>
      <c r="G134" s="137"/>
    </row>
    <row r="135" spans="1:7" ht="15">
      <c r="A135" s="137"/>
      <c r="B135" s="137"/>
      <c r="C135" s="137"/>
      <c r="D135" s="137"/>
      <c r="E135" s="137"/>
      <c r="F135" s="137"/>
      <c r="G135" s="137"/>
    </row>
    <row r="136" spans="1:7" ht="15">
      <c r="A136" s="137"/>
      <c r="B136" s="137"/>
      <c r="C136" s="137"/>
      <c r="D136" s="137"/>
      <c r="E136" s="137"/>
      <c r="F136" s="137"/>
      <c r="G136" s="137"/>
    </row>
    <row r="137" spans="1:7" ht="15">
      <c r="A137" s="137"/>
      <c r="B137" s="137"/>
      <c r="C137" s="137"/>
      <c r="D137" s="137"/>
      <c r="E137" s="137"/>
      <c r="F137" s="137"/>
      <c r="G137" s="137"/>
    </row>
    <row r="138" spans="1:7" ht="15">
      <c r="A138" s="137"/>
      <c r="B138" s="137"/>
      <c r="C138" s="137"/>
      <c r="D138" s="137"/>
      <c r="E138" s="137"/>
      <c r="F138" s="137"/>
      <c r="G138" s="137"/>
    </row>
    <row r="139" spans="1:7" ht="15">
      <c r="A139" s="137"/>
      <c r="B139" s="137"/>
      <c r="C139" s="137"/>
      <c r="D139" s="137"/>
      <c r="E139" s="137"/>
      <c r="F139" s="137"/>
      <c r="G139" s="137"/>
    </row>
    <row r="140" spans="1:7" ht="15">
      <c r="A140" s="137"/>
      <c r="B140" s="137"/>
      <c r="C140" s="137"/>
      <c r="D140" s="137"/>
      <c r="E140" s="137"/>
      <c r="F140" s="137"/>
      <c r="G140" s="137"/>
    </row>
    <row r="141" spans="1:7" ht="15">
      <c r="A141" s="137"/>
      <c r="B141" s="137"/>
      <c r="C141" s="137"/>
      <c r="D141" s="137"/>
      <c r="E141" s="137"/>
      <c r="F141" s="137"/>
      <c r="G141" s="137"/>
    </row>
    <row r="142" spans="1:7" ht="15">
      <c r="A142" s="137"/>
      <c r="B142" s="137"/>
      <c r="C142" s="137"/>
      <c r="D142" s="137"/>
      <c r="E142" s="137"/>
      <c r="F142" s="137"/>
      <c r="G142" s="137"/>
    </row>
    <row r="143" spans="1:7" ht="15">
      <c r="A143" s="137"/>
      <c r="B143" s="137"/>
      <c r="C143" s="137"/>
      <c r="D143" s="137"/>
      <c r="E143" s="137"/>
      <c r="F143" s="137"/>
      <c r="G143" s="137"/>
    </row>
    <row r="144" spans="1:7" ht="15">
      <c r="A144" s="137"/>
      <c r="B144" s="137"/>
      <c r="C144" s="137"/>
      <c r="D144" s="137"/>
      <c r="E144" s="137"/>
      <c r="F144" s="137"/>
      <c r="G144" s="137"/>
    </row>
    <row r="145" spans="1:7" ht="15">
      <c r="A145" s="137"/>
      <c r="B145" s="137"/>
      <c r="C145" s="137"/>
      <c r="D145" s="137"/>
      <c r="E145" s="137"/>
      <c r="F145" s="137"/>
      <c r="G145" s="137"/>
    </row>
    <row r="146" spans="1:7" ht="15">
      <c r="A146" s="137"/>
      <c r="B146" s="137"/>
      <c r="C146" s="137"/>
      <c r="D146" s="137"/>
      <c r="E146" s="137"/>
      <c r="F146" s="137"/>
      <c r="G146" s="137"/>
    </row>
    <row r="147" spans="1:7" ht="15">
      <c r="A147" s="137"/>
      <c r="B147" s="137"/>
      <c r="C147" s="137"/>
      <c r="D147" s="137"/>
      <c r="E147" s="137"/>
      <c r="F147" s="137"/>
      <c r="G147" s="137"/>
    </row>
    <row r="148" spans="1:7" ht="15">
      <c r="A148" s="137"/>
      <c r="B148" s="137"/>
      <c r="C148" s="137"/>
      <c r="D148" s="137"/>
      <c r="E148" s="137"/>
      <c r="F148" s="137"/>
      <c r="G148" s="137"/>
    </row>
    <row r="149" spans="1:7" ht="15">
      <c r="A149" s="137"/>
      <c r="B149" s="137"/>
      <c r="C149" s="137"/>
      <c r="D149" s="137"/>
      <c r="E149" s="137"/>
      <c r="F149" s="137"/>
      <c r="G149" s="137"/>
    </row>
    <row r="150" spans="1:7" ht="15">
      <c r="A150" s="137"/>
      <c r="B150" s="137"/>
      <c r="C150" s="137"/>
      <c r="D150" s="137"/>
      <c r="E150" s="137"/>
      <c r="F150" s="137"/>
      <c r="G150" s="137"/>
    </row>
    <row r="151" spans="1:7" ht="15">
      <c r="A151" s="137"/>
      <c r="B151" s="137"/>
      <c r="C151" s="137"/>
      <c r="D151" s="137"/>
      <c r="E151" s="137"/>
      <c r="F151" s="137"/>
      <c r="G151" s="137"/>
    </row>
    <row r="152" spans="1:7" ht="15">
      <c r="A152" s="137"/>
      <c r="B152" s="137"/>
      <c r="C152" s="137"/>
      <c r="D152" s="137"/>
      <c r="E152" s="137"/>
      <c r="F152" s="137"/>
      <c r="G152" s="137"/>
    </row>
    <row r="153" spans="1:7" ht="15">
      <c r="A153" s="137"/>
      <c r="B153" s="137"/>
      <c r="C153" s="137"/>
      <c r="D153" s="137"/>
      <c r="E153" s="137"/>
      <c r="F153" s="137"/>
      <c r="G153" s="137"/>
    </row>
    <row r="154" spans="1:7" ht="15">
      <c r="A154" s="137"/>
      <c r="B154" s="137"/>
      <c r="C154" s="137"/>
      <c r="D154" s="137"/>
      <c r="E154" s="137"/>
      <c r="F154" s="137"/>
      <c r="G154" s="137"/>
    </row>
    <row r="155" spans="1:7" ht="15">
      <c r="A155" s="137"/>
      <c r="B155" s="137"/>
      <c r="C155" s="137"/>
      <c r="D155" s="137"/>
      <c r="E155" s="137"/>
      <c r="F155" s="137"/>
      <c r="G155" s="137"/>
    </row>
    <row r="156" spans="1:7" ht="15">
      <c r="A156" s="137"/>
      <c r="B156" s="137"/>
      <c r="C156" s="137"/>
      <c r="D156" s="137"/>
      <c r="E156" s="137"/>
      <c r="F156" s="137"/>
      <c r="G156" s="137"/>
    </row>
    <row r="157" spans="1:7" ht="15">
      <c r="A157" s="137"/>
      <c r="B157" s="137"/>
      <c r="C157" s="137"/>
      <c r="D157" s="137"/>
      <c r="E157" s="137"/>
      <c r="F157" s="137"/>
      <c r="G157" s="137"/>
    </row>
    <row r="158" spans="1:7" ht="15">
      <c r="A158" s="137"/>
      <c r="B158" s="137"/>
      <c r="C158" s="137"/>
      <c r="D158" s="137"/>
      <c r="E158" s="137"/>
      <c r="F158" s="137"/>
      <c r="G158" s="137"/>
    </row>
    <row r="159" spans="1:7" ht="15">
      <c r="A159" s="137"/>
      <c r="B159" s="137"/>
      <c r="C159" s="137"/>
      <c r="D159" s="137"/>
      <c r="E159" s="137"/>
      <c r="F159" s="137"/>
      <c r="G159" s="137"/>
    </row>
    <row r="160" spans="1:7" ht="15">
      <c r="A160" s="137"/>
      <c r="B160" s="137"/>
      <c r="C160" s="137"/>
      <c r="D160" s="137"/>
      <c r="E160" s="137"/>
      <c r="F160" s="137"/>
      <c r="G160" s="137"/>
    </row>
    <row r="161" spans="1:7" ht="15">
      <c r="A161" s="137"/>
      <c r="B161" s="137"/>
      <c r="C161" s="137"/>
      <c r="D161" s="137"/>
      <c r="E161" s="137"/>
      <c r="F161" s="137"/>
      <c r="G161" s="137"/>
    </row>
    <row r="162" spans="1:7" ht="15">
      <c r="A162" s="137"/>
      <c r="B162" s="137"/>
      <c r="C162" s="137"/>
      <c r="D162" s="137"/>
      <c r="E162" s="137"/>
      <c r="F162" s="137"/>
      <c r="G162" s="137"/>
    </row>
    <row r="163" spans="1:7" ht="15">
      <c r="A163" s="137"/>
      <c r="B163" s="137"/>
      <c r="C163" s="137"/>
      <c r="D163" s="137"/>
      <c r="E163" s="137"/>
      <c r="F163" s="137"/>
      <c r="G163" s="137"/>
    </row>
    <row r="164" spans="1:7" ht="15">
      <c r="A164" s="137"/>
      <c r="B164" s="137"/>
      <c r="C164" s="137"/>
      <c r="D164" s="137"/>
      <c r="E164" s="137"/>
      <c r="F164" s="137"/>
      <c r="G164" s="137"/>
    </row>
    <row r="165" spans="1:7" ht="15">
      <c r="A165" s="137"/>
      <c r="B165" s="137"/>
      <c r="C165" s="137"/>
      <c r="D165" s="137"/>
      <c r="E165" s="137"/>
      <c r="F165" s="137"/>
      <c r="G165" s="137"/>
    </row>
    <row r="166" spans="1:7" ht="15">
      <c r="A166" s="137"/>
      <c r="B166" s="137"/>
      <c r="C166" s="137"/>
      <c r="D166" s="137"/>
      <c r="E166" s="137"/>
      <c r="F166" s="137"/>
      <c r="G166" s="137"/>
    </row>
    <row r="167" spans="1:7" ht="15">
      <c r="A167" s="137"/>
      <c r="B167" s="137"/>
      <c r="C167" s="137"/>
      <c r="D167" s="137"/>
      <c r="E167" s="137"/>
      <c r="F167" s="137"/>
      <c r="G167" s="137"/>
    </row>
    <row r="168" spans="1:7" ht="15">
      <c r="A168" s="137"/>
      <c r="B168" s="137"/>
      <c r="C168" s="137"/>
      <c r="D168" s="137"/>
      <c r="E168" s="137"/>
      <c r="F168" s="137"/>
      <c r="G168" s="137"/>
    </row>
    <row r="169" spans="1:7" ht="15">
      <c r="A169" s="137"/>
      <c r="B169" s="137"/>
      <c r="C169" s="137"/>
      <c r="D169" s="137"/>
      <c r="E169" s="137"/>
      <c r="F169" s="137"/>
      <c r="G169" s="137"/>
    </row>
    <row r="170" spans="1:7" ht="15">
      <c r="A170" s="137"/>
      <c r="B170" s="137"/>
      <c r="C170" s="137"/>
      <c r="D170" s="137"/>
      <c r="E170" s="137"/>
      <c r="F170" s="137"/>
      <c r="G170" s="137"/>
    </row>
    <row r="171" spans="1:7" ht="15">
      <c r="A171" s="137"/>
      <c r="B171" s="137"/>
      <c r="C171" s="137"/>
      <c r="D171" s="137"/>
      <c r="E171" s="137"/>
      <c r="F171" s="137"/>
      <c r="G171" s="137"/>
    </row>
    <row r="172" spans="1:7" ht="15">
      <c r="A172" s="137"/>
      <c r="B172" s="137"/>
      <c r="C172" s="137"/>
      <c r="D172" s="137"/>
      <c r="E172" s="137"/>
      <c r="F172" s="137"/>
      <c r="G172" s="137"/>
    </row>
    <row r="173" spans="1:7" ht="15">
      <c r="A173" s="137"/>
      <c r="B173" s="137"/>
      <c r="C173" s="137"/>
      <c r="D173" s="137"/>
      <c r="E173" s="137"/>
      <c r="F173" s="137"/>
      <c r="G173" s="137"/>
    </row>
    <row r="174" spans="1:7" ht="15">
      <c r="A174" s="137"/>
      <c r="B174" s="137"/>
      <c r="C174" s="137"/>
      <c r="D174" s="137"/>
      <c r="E174" s="137"/>
      <c r="F174" s="137"/>
      <c r="G174" s="137"/>
    </row>
    <row r="175" spans="1:7" ht="15">
      <c r="A175" s="137"/>
      <c r="B175" s="137"/>
      <c r="C175" s="137"/>
      <c r="D175" s="137"/>
      <c r="E175" s="137"/>
      <c r="F175" s="137"/>
      <c r="G175" s="137"/>
    </row>
    <row r="176" spans="1:7" ht="15">
      <c r="A176" s="137"/>
      <c r="B176" s="137"/>
      <c r="C176" s="137"/>
      <c r="D176" s="137"/>
      <c r="E176" s="137"/>
      <c r="F176" s="137"/>
      <c r="G176" s="137"/>
    </row>
    <row r="177" spans="1:7" ht="15">
      <c r="A177" s="137"/>
      <c r="B177" s="137"/>
      <c r="C177" s="137"/>
      <c r="D177" s="137"/>
      <c r="E177" s="137"/>
      <c r="F177" s="137"/>
      <c r="G177" s="137"/>
    </row>
    <row r="178" spans="1:7" ht="15">
      <c r="A178" s="137"/>
      <c r="B178" s="137"/>
      <c r="C178" s="137"/>
      <c r="D178" s="137"/>
      <c r="E178" s="137"/>
      <c r="F178" s="137"/>
      <c r="G178" s="137"/>
    </row>
    <row r="179" spans="1:7" ht="15">
      <c r="A179" s="137"/>
      <c r="B179" s="137"/>
      <c r="C179" s="137"/>
      <c r="D179" s="137"/>
      <c r="E179" s="137"/>
      <c r="F179" s="137"/>
      <c r="G179" s="137"/>
    </row>
    <row r="180" spans="1:7" ht="15">
      <c r="A180" s="137"/>
      <c r="B180" s="137"/>
      <c r="C180" s="137"/>
      <c r="D180" s="137"/>
      <c r="E180" s="137"/>
      <c r="F180" s="137"/>
      <c r="G180" s="137"/>
    </row>
    <row r="181" spans="1:7" ht="15">
      <c r="A181" s="137"/>
      <c r="B181" s="137"/>
      <c r="C181" s="137"/>
      <c r="D181" s="137"/>
      <c r="E181" s="137"/>
      <c r="F181" s="137"/>
      <c r="G181" s="137"/>
    </row>
    <row r="182" spans="1:7" ht="15">
      <c r="A182" s="137"/>
      <c r="B182" s="137"/>
      <c r="C182" s="137"/>
      <c r="D182" s="137"/>
      <c r="E182" s="137"/>
      <c r="F182" s="137"/>
      <c r="G182" s="137"/>
    </row>
    <row r="183" spans="1:7" ht="15">
      <c r="A183" s="137"/>
      <c r="B183" s="137"/>
      <c r="C183" s="137"/>
      <c r="D183" s="137"/>
      <c r="E183" s="137"/>
      <c r="F183" s="137"/>
      <c r="G183" s="137"/>
    </row>
    <row r="184" spans="1:7" ht="15">
      <c r="A184" s="137"/>
      <c r="B184" s="137"/>
      <c r="C184" s="137"/>
      <c r="D184" s="137"/>
      <c r="E184" s="137"/>
      <c r="F184" s="137"/>
      <c r="G184" s="137"/>
    </row>
    <row r="185" spans="1:7" ht="15">
      <c r="A185" s="137"/>
      <c r="B185" s="137"/>
      <c r="C185" s="137"/>
      <c r="D185" s="137"/>
      <c r="E185" s="137"/>
      <c r="F185" s="137"/>
      <c r="G185" s="137"/>
    </row>
    <row r="186" spans="1:7" ht="15">
      <c r="A186" s="137"/>
      <c r="B186" s="137"/>
      <c r="C186" s="137"/>
      <c r="D186" s="137"/>
      <c r="E186" s="137"/>
      <c r="F186" s="137"/>
      <c r="G186" s="137"/>
    </row>
    <row r="187" spans="1:7" ht="15">
      <c r="A187" s="137"/>
      <c r="B187" s="137"/>
      <c r="C187" s="137"/>
      <c r="D187" s="137"/>
      <c r="E187" s="137"/>
      <c r="F187" s="137"/>
      <c r="G187" s="137"/>
    </row>
    <row r="188" spans="1:7" ht="15">
      <c r="A188" s="137"/>
      <c r="B188" s="137"/>
      <c r="C188" s="137"/>
      <c r="D188" s="137"/>
      <c r="E188" s="137"/>
      <c r="F188" s="137"/>
      <c r="G188" s="137"/>
    </row>
    <row r="189" spans="1:7" ht="15">
      <c r="A189" s="137"/>
      <c r="B189" s="137"/>
      <c r="C189" s="137"/>
      <c r="D189" s="137"/>
      <c r="E189" s="137"/>
      <c r="F189" s="137"/>
      <c r="G189" s="137"/>
    </row>
    <row r="190" spans="1:7" ht="15">
      <c r="A190" s="137"/>
      <c r="B190" s="137"/>
      <c r="C190" s="137"/>
      <c r="D190" s="137"/>
      <c r="E190" s="137"/>
      <c r="F190" s="137"/>
      <c r="G190" s="137"/>
    </row>
    <row r="191" spans="1:7" ht="15">
      <c r="A191" s="137"/>
      <c r="B191" s="137"/>
      <c r="C191" s="137"/>
      <c r="D191" s="137"/>
      <c r="E191" s="137"/>
      <c r="F191" s="137"/>
      <c r="G191" s="137"/>
    </row>
    <row r="192" spans="1:7" ht="15">
      <c r="A192" s="137"/>
      <c r="B192" s="137"/>
      <c r="C192" s="137"/>
      <c r="D192" s="137"/>
      <c r="E192" s="137"/>
      <c r="F192" s="137"/>
      <c r="G192" s="137"/>
    </row>
    <row r="193" spans="1:7" ht="15">
      <c r="A193" s="137"/>
      <c r="B193" s="137"/>
      <c r="C193" s="137"/>
      <c r="D193" s="137"/>
      <c r="E193" s="137"/>
      <c r="F193" s="137"/>
      <c r="G193" s="137"/>
    </row>
    <row r="194" spans="1:7" ht="15">
      <c r="A194" s="137"/>
      <c r="B194" s="137"/>
      <c r="C194" s="137"/>
      <c r="D194" s="137"/>
      <c r="E194" s="137"/>
      <c r="F194" s="137"/>
      <c r="G194" s="137"/>
    </row>
    <row r="195" spans="1:7" ht="15">
      <c r="A195" s="137"/>
      <c r="B195" s="137"/>
      <c r="C195" s="137"/>
      <c r="D195" s="137"/>
      <c r="E195" s="137"/>
      <c r="F195" s="137"/>
      <c r="G195" s="137"/>
    </row>
    <row r="196" spans="1:7" ht="15">
      <c r="A196" s="137"/>
      <c r="B196" s="137"/>
      <c r="C196" s="137"/>
      <c r="D196" s="137"/>
      <c r="E196" s="137"/>
      <c r="F196" s="137"/>
      <c r="G196" s="137"/>
    </row>
    <row r="197" spans="1:7" ht="15">
      <c r="A197" s="137"/>
      <c r="B197" s="137"/>
      <c r="C197" s="137"/>
      <c r="D197" s="137"/>
      <c r="E197" s="137"/>
      <c r="F197" s="137"/>
      <c r="G197" s="137"/>
    </row>
    <row r="198" spans="1:7" ht="15">
      <c r="A198" s="137"/>
      <c r="B198" s="137"/>
      <c r="C198" s="137"/>
      <c r="D198" s="137"/>
      <c r="E198" s="137"/>
      <c r="F198" s="137"/>
      <c r="G198" s="137"/>
    </row>
    <row r="199" spans="1:7" ht="15">
      <c r="A199" s="137"/>
      <c r="B199" s="137"/>
      <c r="C199" s="137"/>
      <c r="D199" s="137"/>
      <c r="E199" s="137"/>
      <c r="F199" s="137"/>
      <c r="G199" s="137"/>
    </row>
    <row r="200" spans="1:7" ht="15">
      <c r="A200" s="137"/>
      <c r="B200" s="137"/>
      <c r="C200" s="137"/>
      <c r="D200" s="137"/>
      <c r="E200" s="137"/>
      <c r="F200" s="137"/>
      <c r="G200" s="137"/>
    </row>
    <row r="201" spans="1:7" ht="15">
      <c r="A201" s="137"/>
      <c r="B201" s="137"/>
      <c r="C201" s="137"/>
      <c r="D201" s="137"/>
      <c r="E201" s="137"/>
      <c r="F201" s="137"/>
      <c r="G201" s="137"/>
    </row>
    <row r="202" spans="1:7" ht="15">
      <c r="A202" s="137"/>
      <c r="B202" s="137"/>
      <c r="C202" s="137"/>
      <c r="D202" s="137"/>
      <c r="E202" s="137"/>
      <c r="F202" s="137"/>
      <c r="G202" s="137"/>
    </row>
    <row r="203" spans="1:7" ht="15">
      <c r="A203" s="137"/>
      <c r="B203" s="137"/>
      <c r="C203" s="137"/>
      <c r="D203" s="137"/>
      <c r="E203" s="137"/>
      <c r="F203" s="137"/>
      <c r="G203" s="137"/>
    </row>
    <row r="204" spans="1:7" ht="15">
      <c r="A204" s="137"/>
      <c r="B204" s="137"/>
      <c r="C204" s="137"/>
      <c r="D204" s="137"/>
      <c r="E204" s="137"/>
      <c r="F204" s="137"/>
      <c r="G204" s="137"/>
    </row>
    <row r="205" spans="1:7" ht="15">
      <c r="A205" s="137"/>
      <c r="B205" s="137"/>
      <c r="C205" s="137"/>
      <c r="D205" s="137"/>
      <c r="E205" s="137"/>
      <c r="F205" s="137"/>
      <c r="G205" s="137"/>
    </row>
    <row r="206" spans="1:7" ht="15">
      <c r="A206" s="137"/>
      <c r="B206" s="137"/>
      <c r="C206" s="137"/>
      <c r="D206" s="137"/>
      <c r="E206" s="137"/>
      <c r="F206" s="137"/>
      <c r="G206" s="137"/>
    </row>
    <row r="207" spans="1:7" ht="15">
      <c r="A207" s="137"/>
      <c r="B207" s="137"/>
      <c r="C207" s="137"/>
      <c r="D207" s="137"/>
      <c r="E207" s="137"/>
      <c r="F207" s="137"/>
      <c r="G207" s="137"/>
    </row>
    <row r="208" spans="1:7" ht="15">
      <c r="A208" s="137"/>
      <c r="B208" s="137"/>
      <c r="C208" s="137"/>
      <c r="D208" s="137"/>
      <c r="E208" s="137"/>
      <c r="F208" s="137"/>
      <c r="G208" s="137"/>
    </row>
    <row r="209" spans="1:7" ht="15">
      <c r="A209" s="137"/>
      <c r="B209" s="137"/>
      <c r="C209" s="137"/>
      <c r="D209" s="137"/>
      <c r="E209" s="137"/>
      <c r="F209" s="137"/>
      <c r="G209" s="137"/>
    </row>
    <row r="210" spans="1:7" ht="15">
      <c r="A210" s="137"/>
      <c r="B210" s="137"/>
      <c r="C210" s="137"/>
      <c r="D210" s="137"/>
      <c r="E210" s="137"/>
      <c r="F210" s="137"/>
      <c r="G210" s="137"/>
    </row>
    <row r="211" spans="1:7" ht="15">
      <c r="A211" s="137"/>
      <c r="B211" s="137"/>
      <c r="C211" s="137"/>
      <c r="D211" s="137"/>
      <c r="E211" s="137"/>
      <c r="F211" s="137"/>
      <c r="G211" s="137"/>
    </row>
    <row r="212" spans="1:7" ht="15">
      <c r="A212" s="137"/>
      <c r="B212" s="137"/>
      <c r="C212" s="137"/>
      <c r="D212" s="137"/>
      <c r="E212" s="137"/>
      <c r="F212" s="137"/>
      <c r="G212" s="137"/>
    </row>
    <row r="213" spans="1:7" ht="15">
      <c r="A213" s="137"/>
      <c r="B213" s="137"/>
      <c r="C213" s="137"/>
      <c r="D213" s="137"/>
      <c r="E213" s="137"/>
      <c r="F213" s="137"/>
      <c r="G213" s="137"/>
    </row>
    <row r="214" spans="1:7" ht="15">
      <c r="A214" s="137"/>
      <c r="B214" s="137"/>
      <c r="C214" s="137"/>
      <c r="D214" s="137"/>
      <c r="E214" s="137"/>
      <c r="F214" s="137"/>
      <c r="G214" s="137"/>
    </row>
    <row r="215" spans="1:7" ht="15">
      <c r="A215" s="137"/>
      <c r="B215" s="137"/>
      <c r="C215" s="137"/>
      <c r="D215" s="137"/>
      <c r="E215" s="137"/>
      <c r="F215" s="137"/>
      <c r="G215" s="137"/>
    </row>
    <row r="216" spans="1:7" ht="15">
      <c r="A216" s="137"/>
      <c r="B216" s="137"/>
      <c r="C216" s="137"/>
      <c r="D216" s="137"/>
      <c r="E216" s="137"/>
      <c r="F216" s="137"/>
      <c r="G216" s="137"/>
    </row>
    <row r="217" spans="1:7" ht="15">
      <c r="A217" s="137"/>
      <c r="B217" s="137"/>
      <c r="C217" s="137"/>
      <c r="D217" s="137"/>
      <c r="E217" s="137"/>
      <c r="F217" s="137"/>
      <c r="G217" s="137"/>
    </row>
    <row r="218" spans="1:7" ht="15">
      <c r="A218" s="137"/>
      <c r="B218" s="137"/>
      <c r="C218" s="137"/>
      <c r="D218" s="137"/>
      <c r="E218" s="137"/>
      <c r="F218" s="137"/>
      <c r="G218" s="137"/>
    </row>
    <row r="219" spans="1:7" ht="15">
      <c r="A219" s="137"/>
      <c r="B219" s="137"/>
      <c r="C219" s="137"/>
      <c r="D219" s="137"/>
      <c r="E219" s="137"/>
      <c r="F219" s="137"/>
      <c r="G219" s="137"/>
    </row>
    <row r="220" spans="1:7" ht="15">
      <c r="A220" s="137"/>
      <c r="B220" s="137"/>
      <c r="C220" s="137"/>
      <c r="D220" s="137"/>
      <c r="E220" s="137"/>
      <c r="F220" s="137"/>
      <c r="G220" s="137"/>
    </row>
    <row r="221" spans="1:7" ht="15">
      <c r="A221" s="137"/>
      <c r="B221" s="137"/>
      <c r="C221" s="137"/>
      <c r="D221" s="137"/>
      <c r="E221" s="137"/>
      <c r="F221" s="137"/>
      <c r="G221" s="137"/>
    </row>
    <row r="222" spans="1:7" ht="15">
      <c r="A222" s="137"/>
      <c r="B222" s="137"/>
      <c r="C222" s="137"/>
      <c r="D222" s="137"/>
      <c r="E222" s="137"/>
      <c r="F222" s="137"/>
      <c r="G222" s="137"/>
    </row>
    <row r="223" spans="1:7" ht="15">
      <c r="A223" s="137"/>
      <c r="B223" s="137"/>
      <c r="C223" s="137"/>
      <c r="D223" s="137"/>
      <c r="E223" s="137"/>
      <c r="F223" s="137"/>
      <c r="G223" s="137"/>
    </row>
    <row r="224" spans="1:7" ht="15">
      <c r="A224" s="137"/>
      <c r="B224" s="137"/>
      <c r="C224" s="137"/>
      <c r="D224" s="137"/>
      <c r="E224" s="137"/>
      <c r="F224" s="137"/>
      <c r="G224" s="137"/>
    </row>
    <row r="225" spans="1:7" ht="15">
      <c r="A225" s="137"/>
      <c r="B225" s="137"/>
      <c r="C225" s="137"/>
      <c r="D225" s="137"/>
      <c r="E225" s="137"/>
      <c r="F225" s="137"/>
      <c r="G225" s="137"/>
    </row>
    <row r="226" spans="1:7" ht="15">
      <c r="A226" s="137"/>
      <c r="B226" s="137"/>
      <c r="C226" s="137"/>
      <c r="D226" s="137"/>
      <c r="E226" s="137"/>
      <c r="F226" s="137"/>
      <c r="G226" s="137"/>
    </row>
    <row r="227" spans="1:7" ht="15">
      <c r="A227" s="137"/>
      <c r="B227" s="137"/>
      <c r="C227" s="137"/>
      <c r="D227" s="137"/>
      <c r="E227" s="137"/>
      <c r="F227" s="137"/>
      <c r="G227" s="137"/>
    </row>
    <row r="228" spans="1:7" ht="15">
      <c r="A228" s="137"/>
      <c r="B228" s="137"/>
      <c r="C228" s="137"/>
      <c r="D228" s="137"/>
      <c r="E228" s="137"/>
      <c r="F228" s="137"/>
      <c r="G228" s="137"/>
    </row>
    <row r="229" spans="1:7" ht="15">
      <c r="A229" s="137"/>
      <c r="B229" s="137"/>
      <c r="C229" s="137"/>
      <c r="D229" s="137"/>
      <c r="E229" s="137"/>
      <c r="F229" s="137"/>
      <c r="G229" s="137"/>
    </row>
    <row r="230" spans="1:7" ht="15">
      <c r="A230" s="137"/>
      <c r="B230" s="137"/>
      <c r="C230" s="137"/>
      <c r="D230" s="137"/>
      <c r="E230" s="137"/>
      <c r="F230" s="137"/>
      <c r="G230" s="137"/>
    </row>
    <row r="231" spans="1:7" ht="15">
      <c r="A231" s="137"/>
      <c r="B231" s="137"/>
      <c r="C231" s="137"/>
      <c r="D231" s="137"/>
      <c r="E231" s="137"/>
      <c r="F231" s="137"/>
      <c r="G231" s="137"/>
    </row>
    <row r="232" spans="1:7" ht="15">
      <c r="A232" s="137"/>
      <c r="B232" s="137"/>
      <c r="C232" s="137"/>
      <c r="D232" s="137"/>
      <c r="E232" s="137"/>
      <c r="F232" s="137"/>
      <c r="G232" s="137"/>
    </row>
    <row r="233" spans="1:7" ht="15">
      <c r="A233" s="137"/>
      <c r="B233" s="137"/>
      <c r="C233" s="137"/>
      <c r="D233" s="137"/>
      <c r="E233" s="137"/>
      <c r="F233" s="137"/>
      <c r="G233" s="137"/>
    </row>
    <row r="234" spans="1:7" ht="15">
      <c r="A234" s="137"/>
      <c r="B234" s="137"/>
      <c r="C234" s="137"/>
      <c r="D234" s="137"/>
      <c r="E234" s="137"/>
      <c r="F234" s="137"/>
      <c r="G234" s="137"/>
    </row>
    <row r="235" spans="1:7" ht="15">
      <c r="A235" s="137"/>
      <c r="B235" s="137"/>
      <c r="C235" s="137"/>
      <c r="D235" s="137"/>
      <c r="E235" s="137"/>
      <c r="F235" s="137"/>
      <c r="G235" s="137"/>
    </row>
    <row r="236" spans="1:7" ht="15">
      <c r="A236" s="137"/>
      <c r="B236" s="137"/>
      <c r="C236" s="137"/>
      <c r="D236" s="137"/>
      <c r="E236" s="137"/>
      <c r="F236" s="137"/>
      <c r="G236" s="137"/>
    </row>
    <row r="237" spans="1:7" ht="15">
      <c r="A237" s="137"/>
      <c r="B237" s="137"/>
      <c r="C237" s="137"/>
      <c r="D237" s="137"/>
      <c r="E237" s="137"/>
      <c r="F237" s="137"/>
      <c r="G237" s="137"/>
    </row>
    <row r="238" spans="1:7" ht="15">
      <c r="A238" s="137"/>
      <c r="B238" s="137"/>
      <c r="C238" s="137"/>
      <c r="D238" s="137"/>
      <c r="E238" s="137"/>
      <c r="F238" s="137"/>
      <c r="G238" s="137"/>
    </row>
    <row r="239" spans="1:7" ht="15">
      <c r="A239" s="137"/>
      <c r="B239" s="137"/>
      <c r="C239" s="137"/>
      <c r="D239" s="137"/>
      <c r="E239" s="137"/>
      <c r="F239" s="137"/>
      <c r="G239" s="137"/>
    </row>
    <row r="240" spans="1:7" ht="15">
      <c r="A240" s="137"/>
      <c r="B240" s="137"/>
      <c r="C240" s="137"/>
      <c r="D240" s="137"/>
      <c r="E240" s="137"/>
      <c r="F240" s="137"/>
      <c r="G240" s="137"/>
    </row>
    <row r="241" spans="1:7" ht="15">
      <c r="A241" s="137"/>
      <c r="B241" s="137"/>
      <c r="C241" s="137"/>
      <c r="D241" s="137"/>
      <c r="E241" s="137"/>
      <c r="F241" s="137"/>
      <c r="G241" s="137"/>
    </row>
    <row r="242" spans="1:7" ht="15">
      <c r="A242" s="137"/>
      <c r="B242" s="137"/>
      <c r="C242" s="137"/>
      <c r="D242" s="137"/>
      <c r="E242" s="137"/>
      <c r="F242" s="137"/>
      <c r="G242" s="137"/>
    </row>
    <row r="243" spans="1:7" ht="15">
      <c r="A243" s="137"/>
      <c r="B243" s="137"/>
      <c r="C243" s="137"/>
      <c r="D243" s="137"/>
      <c r="E243" s="137"/>
      <c r="F243" s="137"/>
      <c r="G243" s="137"/>
    </row>
    <row r="244" spans="1:7" ht="15">
      <c r="A244" s="137"/>
      <c r="B244" s="137"/>
      <c r="C244" s="137"/>
      <c r="D244" s="137"/>
      <c r="E244" s="137"/>
      <c r="F244" s="137"/>
      <c r="G244" s="137"/>
    </row>
    <row r="245" spans="1:7" ht="15">
      <c r="A245" s="137"/>
      <c r="B245" s="137"/>
      <c r="C245" s="137"/>
      <c r="D245" s="137"/>
      <c r="E245" s="137"/>
      <c r="F245" s="137"/>
      <c r="G245" s="137"/>
    </row>
    <row r="246" spans="1:7" ht="15">
      <c r="A246" s="137"/>
      <c r="B246" s="137"/>
      <c r="C246" s="137"/>
      <c r="D246" s="137"/>
      <c r="E246" s="137"/>
      <c r="F246" s="137"/>
      <c r="G246" s="137"/>
    </row>
    <row r="247" spans="1:7" ht="15">
      <c r="A247" s="137"/>
      <c r="B247" s="137"/>
      <c r="C247" s="137"/>
      <c r="D247" s="137"/>
      <c r="E247" s="137"/>
      <c r="F247" s="137"/>
      <c r="G247" s="137"/>
    </row>
    <row r="248" spans="1:7" ht="15">
      <c r="A248" s="137"/>
      <c r="B248" s="137"/>
      <c r="C248" s="137"/>
      <c r="D248" s="137"/>
      <c r="E248" s="137"/>
      <c r="F248" s="137"/>
      <c r="G248" s="137"/>
    </row>
    <row r="249" spans="1:7" ht="15">
      <c r="A249" s="137"/>
      <c r="B249" s="137"/>
      <c r="C249" s="137"/>
      <c r="D249" s="137"/>
      <c r="E249" s="137"/>
      <c r="F249" s="137"/>
      <c r="G249" s="137"/>
    </row>
    <row r="250" spans="1:7" ht="15">
      <c r="A250" s="137"/>
      <c r="B250" s="137"/>
      <c r="C250" s="137"/>
      <c r="D250" s="137"/>
      <c r="E250" s="137"/>
      <c r="F250" s="137"/>
      <c r="G250" s="137"/>
    </row>
    <row r="251" spans="1:7" ht="15">
      <c r="A251" s="137"/>
      <c r="B251" s="137"/>
      <c r="C251" s="137"/>
      <c r="D251" s="137"/>
      <c r="E251" s="137"/>
      <c r="F251" s="137"/>
      <c r="G251" s="137"/>
    </row>
    <row r="252" spans="1:7" ht="15">
      <c r="A252" s="137"/>
      <c r="B252" s="137"/>
      <c r="C252" s="137"/>
      <c r="D252" s="137"/>
      <c r="E252" s="137"/>
      <c r="F252" s="137"/>
      <c r="G252" s="137"/>
    </row>
    <row r="253" spans="1:7" ht="15">
      <c r="A253" s="137"/>
      <c r="B253" s="137"/>
      <c r="C253" s="137"/>
      <c r="D253" s="137"/>
      <c r="E253" s="137"/>
      <c r="F253" s="137"/>
      <c r="G253" s="137"/>
    </row>
    <row r="254" spans="1:7" ht="15">
      <c r="A254" s="137"/>
      <c r="B254" s="137"/>
      <c r="C254" s="137"/>
      <c r="D254" s="137"/>
      <c r="E254" s="137"/>
      <c r="F254" s="137"/>
      <c r="G254" s="137"/>
    </row>
    <row r="255" spans="1:7" ht="15">
      <c r="A255" s="137"/>
      <c r="B255" s="137"/>
      <c r="C255" s="137"/>
      <c r="D255" s="137"/>
      <c r="E255" s="137"/>
      <c r="F255" s="137"/>
      <c r="G255" s="137"/>
    </row>
    <row r="256" spans="1:7" ht="15">
      <c r="A256" s="137"/>
      <c r="B256" s="137"/>
      <c r="C256" s="137"/>
      <c r="D256" s="137"/>
      <c r="E256" s="137"/>
      <c r="F256" s="137"/>
      <c r="G256" s="137"/>
    </row>
    <row r="257" spans="1:7" ht="15">
      <c r="A257" s="137"/>
      <c r="B257" s="137"/>
      <c r="C257" s="137"/>
      <c r="D257" s="137"/>
      <c r="E257" s="137"/>
      <c r="F257" s="137"/>
      <c r="G257" s="137"/>
    </row>
    <row r="258" spans="1:7" ht="15">
      <c r="A258" s="137"/>
      <c r="B258" s="137"/>
      <c r="C258" s="137"/>
      <c r="D258" s="137"/>
      <c r="E258" s="137"/>
      <c r="F258" s="137"/>
      <c r="G258" s="137"/>
    </row>
    <row r="259" spans="1:7" ht="15">
      <c r="A259" s="137"/>
      <c r="B259" s="137"/>
      <c r="C259" s="137"/>
      <c r="D259" s="137"/>
      <c r="E259" s="137"/>
      <c r="F259" s="137"/>
      <c r="G259" s="137"/>
    </row>
    <row r="260" spans="1:7" ht="15">
      <c r="A260" s="137"/>
      <c r="B260" s="137"/>
      <c r="C260" s="137"/>
      <c r="D260" s="137"/>
      <c r="E260" s="137"/>
      <c r="F260" s="137"/>
      <c r="G260" s="137"/>
    </row>
    <row r="261" spans="1:7" ht="15">
      <c r="A261" s="137"/>
      <c r="B261" s="137"/>
      <c r="C261" s="137"/>
      <c r="D261" s="137"/>
      <c r="E261" s="137"/>
      <c r="F261" s="137"/>
      <c r="G261" s="137"/>
    </row>
    <row r="262" spans="1:7" ht="15">
      <c r="A262" s="137"/>
      <c r="B262" s="137"/>
      <c r="C262" s="137"/>
      <c r="D262" s="137"/>
      <c r="E262" s="137"/>
      <c r="F262" s="137"/>
      <c r="G262" s="137"/>
    </row>
    <row r="263" spans="1:7" ht="15">
      <c r="A263" s="137"/>
      <c r="B263" s="137"/>
      <c r="C263" s="137"/>
      <c r="D263" s="137"/>
      <c r="E263" s="137"/>
      <c r="F263" s="137"/>
      <c r="G263" s="137"/>
    </row>
    <row r="264" spans="1:7" ht="15">
      <c r="A264" s="137"/>
      <c r="B264" s="137"/>
      <c r="C264" s="137"/>
      <c r="D264" s="137"/>
      <c r="E264" s="137"/>
      <c r="F264" s="137"/>
      <c r="G264" s="137"/>
    </row>
    <row r="265" spans="1:7" ht="15">
      <c r="A265" s="137"/>
      <c r="B265" s="137"/>
      <c r="C265" s="137"/>
      <c r="D265" s="137"/>
      <c r="E265" s="137"/>
      <c r="F265" s="137"/>
      <c r="G265" s="137"/>
    </row>
    <row r="266" spans="1:7" ht="15">
      <c r="A266" s="137"/>
      <c r="B266" s="137"/>
      <c r="C266" s="137"/>
      <c r="D266" s="137"/>
      <c r="E266" s="137"/>
      <c r="F266" s="137"/>
      <c r="G266" s="137"/>
    </row>
    <row r="267" spans="1:7" ht="15">
      <c r="A267" s="137"/>
      <c r="B267" s="137"/>
      <c r="C267" s="137"/>
      <c r="D267" s="137"/>
      <c r="E267" s="137"/>
      <c r="F267" s="137"/>
      <c r="G267" s="137"/>
    </row>
    <row r="268" spans="1:7" ht="15">
      <c r="A268" s="137"/>
      <c r="B268" s="137"/>
      <c r="C268" s="137"/>
      <c r="D268" s="137"/>
      <c r="E268" s="137"/>
      <c r="F268" s="137"/>
      <c r="G268" s="137"/>
    </row>
    <row r="269" spans="1:7" ht="15">
      <c r="A269" s="137"/>
      <c r="B269" s="137"/>
      <c r="C269" s="137"/>
      <c r="D269" s="137"/>
      <c r="E269" s="137"/>
      <c r="F269" s="137"/>
      <c r="G269" s="137"/>
    </row>
    <row r="270" spans="1:7" ht="15">
      <c r="A270" s="137"/>
      <c r="B270" s="137"/>
      <c r="C270" s="137"/>
      <c r="D270" s="137"/>
      <c r="E270" s="137"/>
      <c r="F270" s="137"/>
      <c r="G270" s="137"/>
    </row>
    <row r="271" spans="1:7" ht="15">
      <c r="A271" s="137"/>
      <c r="B271" s="137"/>
      <c r="C271" s="137"/>
      <c r="D271" s="137"/>
      <c r="E271" s="137"/>
      <c r="F271" s="137"/>
      <c r="G271" s="137"/>
    </row>
    <row r="272" spans="1:7" ht="15">
      <c r="A272" s="137"/>
      <c r="B272" s="137"/>
      <c r="C272" s="137"/>
      <c r="D272" s="137"/>
      <c r="E272" s="137"/>
      <c r="F272" s="137"/>
      <c r="G272" s="137"/>
    </row>
    <row r="273" spans="1:7" ht="15">
      <c r="A273" s="137"/>
      <c r="B273" s="137"/>
      <c r="C273" s="137"/>
      <c r="D273" s="137"/>
      <c r="E273" s="137"/>
      <c r="F273" s="137"/>
      <c r="G273" s="137"/>
    </row>
    <row r="274" spans="1:7" ht="15">
      <c r="A274" s="137"/>
      <c r="B274" s="137"/>
      <c r="C274" s="137"/>
      <c r="D274" s="137"/>
      <c r="E274" s="137"/>
      <c r="F274" s="137"/>
      <c r="G274" s="137"/>
    </row>
    <row r="275" spans="1:7" ht="15">
      <c r="A275" s="137"/>
      <c r="B275" s="137"/>
      <c r="C275" s="137"/>
      <c r="D275" s="137"/>
      <c r="E275" s="137"/>
      <c r="F275" s="137"/>
      <c r="G275" s="137"/>
    </row>
    <row r="276" spans="1:7" ht="15">
      <c r="A276" s="137"/>
      <c r="B276" s="137"/>
      <c r="C276" s="137"/>
      <c r="D276" s="137"/>
      <c r="E276" s="137"/>
      <c r="F276" s="137"/>
      <c r="G276" s="137"/>
    </row>
    <row r="277" spans="1:7" ht="15">
      <c r="A277" s="137"/>
      <c r="B277" s="137"/>
      <c r="C277" s="137"/>
      <c r="D277" s="137"/>
      <c r="E277" s="137"/>
      <c r="F277" s="137"/>
      <c r="G277" s="137"/>
    </row>
    <row r="278" spans="1:7" ht="15">
      <c r="A278" s="137"/>
      <c r="B278" s="137"/>
      <c r="C278" s="137"/>
      <c r="D278" s="137"/>
      <c r="E278" s="137"/>
      <c r="F278" s="137"/>
      <c r="G278" s="137"/>
    </row>
    <row r="279" spans="1:7" ht="15">
      <c r="A279" s="137"/>
      <c r="B279" s="137"/>
      <c r="C279" s="137"/>
      <c r="D279" s="137"/>
      <c r="E279" s="137"/>
      <c r="F279" s="137"/>
      <c r="G279" s="137"/>
    </row>
    <row r="280" spans="1:7" ht="15">
      <c r="A280" s="137"/>
      <c r="B280" s="137"/>
      <c r="C280" s="137"/>
      <c r="D280" s="137"/>
      <c r="E280" s="137"/>
      <c r="F280" s="137"/>
      <c r="G280" s="137"/>
    </row>
    <row r="281" spans="1:7" ht="15">
      <c r="A281" s="137"/>
      <c r="B281" s="137"/>
      <c r="C281" s="137"/>
      <c r="D281" s="137"/>
      <c r="E281" s="137"/>
      <c r="F281" s="137"/>
      <c r="G281" s="137"/>
    </row>
    <row r="282" spans="1:7" ht="15">
      <c r="A282" s="137"/>
      <c r="B282" s="137"/>
      <c r="C282" s="137"/>
      <c r="D282" s="137"/>
      <c r="E282" s="137"/>
      <c r="F282" s="137"/>
      <c r="G282" s="137"/>
    </row>
    <row r="283" spans="1:7" ht="15">
      <c r="A283" s="137"/>
      <c r="B283" s="137"/>
      <c r="C283" s="137"/>
      <c r="D283" s="137"/>
      <c r="E283" s="137"/>
      <c r="F283" s="137"/>
      <c r="G283" s="137"/>
    </row>
    <row r="284" spans="1:7" ht="15">
      <c r="A284" s="137"/>
      <c r="B284" s="137"/>
      <c r="C284" s="137"/>
      <c r="D284" s="137"/>
      <c r="E284" s="137"/>
      <c r="F284" s="137"/>
      <c r="G284" s="137"/>
    </row>
    <row r="285" spans="1:7" ht="15">
      <c r="A285" s="137"/>
      <c r="B285" s="137"/>
      <c r="C285" s="137"/>
      <c r="D285" s="137"/>
      <c r="E285" s="137"/>
      <c r="F285" s="137"/>
      <c r="G285" s="137"/>
    </row>
    <row r="286" spans="1:7" ht="15">
      <c r="A286" s="137"/>
      <c r="B286" s="137"/>
      <c r="C286" s="137"/>
      <c r="D286" s="137"/>
      <c r="E286" s="137"/>
      <c r="F286" s="137"/>
      <c r="G286" s="137"/>
    </row>
    <row r="287" spans="1:7" ht="15">
      <c r="A287" s="137"/>
      <c r="B287" s="137"/>
      <c r="C287" s="137"/>
      <c r="D287" s="137"/>
      <c r="E287" s="137"/>
      <c r="F287" s="137"/>
      <c r="G287" s="137"/>
    </row>
    <row r="288" spans="1:7" ht="15">
      <c r="A288" s="137"/>
      <c r="B288" s="137"/>
      <c r="C288" s="137"/>
      <c r="D288" s="137"/>
      <c r="E288" s="137"/>
      <c r="F288" s="137"/>
      <c r="G288" s="137"/>
    </row>
    <row r="289" spans="1:7" ht="15">
      <c r="A289" s="137"/>
      <c r="B289" s="137"/>
      <c r="C289" s="137"/>
      <c r="D289" s="137"/>
      <c r="E289" s="137"/>
      <c r="F289" s="137"/>
      <c r="G289" s="137"/>
    </row>
    <row r="290" spans="1:7" ht="15">
      <c r="A290" s="137"/>
      <c r="B290" s="137"/>
      <c r="C290" s="137"/>
      <c r="D290" s="137"/>
      <c r="E290" s="137"/>
      <c r="F290" s="137"/>
      <c r="G290" s="137"/>
    </row>
    <row r="291" spans="1:7" ht="15">
      <c r="A291" s="137"/>
      <c r="B291" s="137"/>
      <c r="C291" s="137"/>
      <c r="D291" s="137"/>
      <c r="E291" s="137"/>
      <c r="F291" s="137"/>
      <c r="G291" s="137"/>
    </row>
    <row r="292" spans="1:7" ht="15">
      <c r="A292" s="137"/>
      <c r="B292" s="137"/>
      <c r="C292" s="137"/>
      <c r="D292" s="137"/>
      <c r="E292" s="137"/>
      <c r="F292" s="137"/>
      <c r="G292" s="137"/>
    </row>
    <row r="293" spans="1:7" ht="15">
      <c r="A293" s="137"/>
      <c r="B293" s="137"/>
      <c r="C293" s="137"/>
      <c r="D293" s="137"/>
      <c r="E293" s="137"/>
      <c r="F293" s="137"/>
      <c r="G293" s="137"/>
    </row>
    <row r="294" spans="1:7" ht="15">
      <c r="A294" s="137"/>
      <c r="B294" s="137"/>
      <c r="C294" s="137"/>
      <c r="D294" s="137"/>
      <c r="E294" s="137"/>
      <c r="F294" s="137"/>
      <c r="G294" s="137"/>
    </row>
    <row r="295" spans="1:7" ht="15">
      <c r="A295" s="137"/>
      <c r="B295" s="137"/>
      <c r="C295" s="137"/>
      <c r="D295" s="137"/>
      <c r="E295" s="137"/>
      <c r="F295" s="137"/>
      <c r="G295" s="137"/>
    </row>
    <row r="296" spans="1:7" ht="15">
      <c r="A296" s="137"/>
      <c r="B296" s="137"/>
      <c r="C296" s="137"/>
      <c r="D296" s="137"/>
      <c r="E296" s="137"/>
      <c r="F296" s="137"/>
      <c r="G296" s="137"/>
    </row>
    <row r="297" spans="1:7" ht="15">
      <c r="A297" s="137"/>
      <c r="B297" s="137"/>
      <c r="C297" s="137"/>
      <c r="D297" s="137"/>
      <c r="E297" s="137"/>
      <c r="F297" s="137"/>
      <c r="G297" s="137"/>
    </row>
    <row r="298" spans="1:7" ht="15">
      <c r="A298" s="137"/>
      <c r="B298" s="137"/>
      <c r="C298" s="137"/>
      <c r="D298" s="137"/>
      <c r="E298" s="137"/>
      <c r="F298" s="137"/>
      <c r="G298" s="137"/>
    </row>
    <row r="299" spans="1:7" ht="15">
      <c r="A299" s="137"/>
      <c r="B299" s="137"/>
      <c r="C299" s="137"/>
      <c r="D299" s="137"/>
      <c r="E299" s="137"/>
      <c r="F299" s="137"/>
      <c r="G299" s="137"/>
    </row>
    <row r="300" spans="1:7" ht="15">
      <c r="A300" s="137"/>
      <c r="B300" s="137"/>
      <c r="C300" s="137"/>
      <c r="D300" s="137"/>
      <c r="E300" s="137"/>
      <c r="F300" s="137"/>
      <c r="G300" s="137"/>
    </row>
    <row r="301" spans="1:7" ht="15">
      <c r="A301" s="137"/>
      <c r="B301" s="137"/>
      <c r="C301" s="137"/>
      <c r="D301" s="137"/>
      <c r="E301" s="137"/>
      <c r="F301" s="137"/>
      <c r="G301" s="137"/>
    </row>
    <row r="302" spans="1:7" ht="15">
      <c r="A302" s="137"/>
      <c r="B302" s="137"/>
      <c r="C302" s="137"/>
      <c r="D302" s="137"/>
      <c r="E302" s="137"/>
      <c r="F302" s="137"/>
      <c r="G302" s="137"/>
    </row>
    <row r="303" spans="1:7" ht="15">
      <c r="A303" s="137"/>
      <c r="B303" s="137"/>
      <c r="C303" s="137"/>
      <c r="D303" s="137"/>
      <c r="E303" s="137"/>
      <c r="F303" s="137"/>
      <c r="G303" s="137"/>
    </row>
    <row r="304" spans="1:7" ht="15">
      <c r="A304" s="137"/>
      <c r="B304" s="137"/>
      <c r="C304" s="137"/>
      <c r="D304" s="137"/>
      <c r="E304" s="137"/>
      <c r="F304" s="137"/>
      <c r="G304" s="137"/>
    </row>
    <row r="305" spans="1:7" ht="15">
      <c r="A305" s="137"/>
      <c r="B305" s="137"/>
      <c r="C305" s="137"/>
      <c r="D305" s="137"/>
      <c r="E305" s="137"/>
      <c r="F305" s="137"/>
      <c r="G305" s="137"/>
    </row>
    <row r="306" spans="1:7" ht="15">
      <c r="A306" s="137"/>
      <c r="B306" s="137"/>
      <c r="C306" s="137"/>
      <c r="D306" s="137"/>
      <c r="E306" s="137"/>
      <c r="F306" s="137"/>
      <c r="G306" s="137"/>
    </row>
    <row r="307" spans="1:7" ht="15">
      <c r="A307" s="137"/>
      <c r="B307" s="137"/>
      <c r="C307" s="137"/>
      <c r="D307" s="137"/>
      <c r="E307" s="137"/>
      <c r="F307" s="137"/>
      <c r="G307" s="137"/>
    </row>
    <row r="308" spans="1:7" ht="15">
      <c r="A308" s="137"/>
      <c r="B308" s="137"/>
      <c r="C308" s="137"/>
      <c r="D308" s="137"/>
      <c r="E308" s="137"/>
      <c r="F308" s="137"/>
      <c r="G308" s="137"/>
    </row>
    <row r="309" spans="1:7" ht="15">
      <c r="A309" s="137"/>
      <c r="B309" s="137"/>
      <c r="C309" s="137"/>
      <c r="D309" s="137"/>
      <c r="E309" s="137"/>
      <c r="F309" s="137"/>
      <c r="G309" s="137"/>
    </row>
    <row r="310" spans="1:7" ht="15">
      <c r="A310" s="137"/>
      <c r="B310" s="137"/>
      <c r="C310" s="137"/>
      <c r="D310" s="137"/>
      <c r="E310" s="137"/>
      <c r="F310" s="137"/>
      <c r="G310" s="137"/>
    </row>
    <row r="311" spans="1:7" ht="15">
      <c r="A311" s="137"/>
      <c r="B311" s="137"/>
      <c r="C311" s="137"/>
      <c r="D311" s="137"/>
      <c r="E311" s="137"/>
      <c r="F311" s="137"/>
      <c r="G311" s="137"/>
    </row>
    <row r="312" spans="1:7" ht="15">
      <c r="A312" s="137"/>
      <c r="B312" s="137"/>
      <c r="C312" s="137"/>
      <c r="D312" s="137"/>
      <c r="E312" s="137"/>
      <c r="F312" s="137"/>
      <c r="G312" s="137"/>
    </row>
    <row r="313" spans="1:7" ht="15">
      <c r="A313" s="137"/>
      <c r="B313" s="137"/>
      <c r="C313" s="137"/>
      <c r="D313" s="137"/>
      <c r="E313" s="137"/>
      <c r="F313" s="137"/>
      <c r="G313" s="137"/>
    </row>
    <row r="314" spans="1:7" ht="15">
      <c r="A314" s="137"/>
      <c r="B314" s="137"/>
      <c r="C314" s="137"/>
      <c r="D314" s="137"/>
      <c r="E314" s="137"/>
      <c r="F314" s="137"/>
      <c r="G314" s="137"/>
    </row>
    <row r="315" spans="1:7" ht="15">
      <c r="A315" s="137"/>
      <c r="B315" s="137"/>
      <c r="C315" s="137"/>
      <c r="D315" s="137"/>
      <c r="E315" s="137"/>
      <c r="F315" s="137"/>
      <c r="G315" s="137"/>
    </row>
    <row r="316" spans="1:7" ht="15">
      <c r="A316" s="137"/>
      <c r="B316" s="137"/>
      <c r="C316" s="137"/>
      <c r="D316" s="137"/>
      <c r="E316" s="137"/>
      <c r="F316" s="137"/>
      <c r="G316" s="137"/>
    </row>
    <row r="317" spans="1:7" ht="15">
      <c r="A317" s="137"/>
      <c r="B317" s="137"/>
      <c r="C317" s="137"/>
      <c r="D317" s="137"/>
      <c r="E317" s="137"/>
      <c r="F317" s="137"/>
      <c r="G317" s="137"/>
    </row>
    <row r="318" spans="1:7" ht="15">
      <c r="A318" s="137"/>
      <c r="B318" s="137"/>
      <c r="C318" s="137"/>
      <c r="D318" s="137"/>
      <c r="E318" s="137"/>
      <c r="F318" s="137"/>
      <c r="G318" s="137"/>
    </row>
    <row r="319" spans="1:7" ht="15">
      <c r="A319" s="137"/>
      <c r="B319" s="137"/>
      <c r="C319" s="137"/>
      <c r="D319" s="137"/>
      <c r="E319" s="137"/>
      <c r="F319" s="137"/>
      <c r="G319" s="137"/>
    </row>
    <row r="320" spans="1:7" ht="15">
      <c r="A320" s="137"/>
      <c r="B320" s="137"/>
      <c r="C320" s="137"/>
      <c r="D320" s="137"/>
      <c r="E320" s="137"/>
      <c r="F320" s="137"/>
      <c r="G320" s="137"/>
    </row>
    <row r="321" spans="1:7" ht="15">
      <c r="A321" s="137"/>
      <c r="B321" s="137"/>
      <c r="C321" s="137"/>
      <c r="D321" s="137"/>
      <c r="E321" s="137"/>
      <c r="F321" s="137"/>
      <c r="G321" s="137"/>
    </row>
    <row r="322" spans="1:7" ht="15">
      <c r="A322" s="137"/>
      <c r="B322" s="137"/>
      <c r="C322" s="137"/>
      <c r="D322" s="137"/>
      <c r="E322" s="137"/>
      <c r="F322" s="137"/>
      <c r="G322" s="137"/>
    </row>
    <row r="323" spans="1:7" ht="15">
      <c r="A323" s="137"/>
      <c r="B323" s="137"/>
      <c r="C323" s="137"/>
      <c r="D323" s="137"/>
      <c r="E323" s="137"/>
      <c r="F323" s="137"/>
      <c r="G323" s="137"/>
    </row>
    <row r="324" spans="1:7" ht="15">
      <c r="A324" s="137"/>
      <c r="B324" s="137"/>
      <c r="C324" s="137"/>
      <c r="D324" s="137"/>
      <c r="E324" s="137"/>
      <c r="F324" s="137"/>
      <c r="G324" s="137"/>
    </row>
    <row r="325" spans="1:7" ht="15">
      <c r="A325" s="137"/>
      <c r="B325" s="137"/>
      <c r="C325" s="137"/>
      <c r="D325" s="137"/>
      <c r="E325" s="137"/>
      <c r="F325" s="137"/>
      <c r="G325" s="137"/>
    </row>
    <row r="326" spans="1:7" ht="15">
      <c r="A326" s="137"/>
      <c r="B326" s="137"/>
      <c r="C326" s="137"/>
      <c r="D326" s="137"/>
      <c r="E326" s="137"/>
      <c r="F326" s="137"/>
      <c r="G326" s="137"/>
    </row>
    <row r="327" spans="1:7" ht="15">
      <c r="A327" s="137"/>
      <c r="B327" s="137"/>
      <c r="C327" s="137"/>
      <c r="D327" s="137"/>
      <c r="E327" s="137"/>
      <c r="F327" s="137"/>
      <c r="G327" s="137"/>
    </row>
    <row r="328" spans="1:7" ht="15">
      <c r="A328" s="137"/>
      <c r="B328" s="137"/>
      <c r="C328" s="137"/>
      <c r="D328" s="137"/>
      <c r="E328" s="137"/>
      <c r="F328" s="137"/>
      <c r="G328" s="137"/>
    </row>
    <row r="329" spans="1:7" ht="15">
      <c r="A329" s="137"/>
      <c r="B329" s="137"/>
      <c r="C329" s="137"/>
      <c r="D329" s="137"/>
      <c r="E329" s="137"/>
      <c r="F329" s="137"/>
      <c r="G329" s="137"/>
    </row>
    <row r="330" spans="1:7" ht="15">
      <c r="A330" s="137"/>
      <c r="B330" s="137"/>
      <c r="C330" s="137"/>
      <c r="D330" s="137"/>
      <c r="E330" s="137"/>
      <c r="F330" s="137"/>
      <c r="G330" s="137"/>
    </row>
    <row r="331" spans="1:7" ht="15">
      <c r="A331" s="137"/>
      <c r="B331" s="137"/>
      <c r="C331" s="137"/>
      <c r="D331" s="137"/>
      <c r="E331" s="137"/>
      <c r="F331" s="137"/>
      <c r="G331" s="137"/>
    </row>
    <row r="332" spans="1:7" ht="15">
      <c r="A332" s="137"/>
      <c r="B332" s="137"/>
      <c r="C332" s="137"/>
      <c r="D332" s="137"/>
      <c r="E332" s="137"/>
      <c r="F332" s="137"/>
      <c r="G332" s="137"/>
    </row>
    <row r="333" spans="1:7" ht="15">
      <c r="A333" s="137"/>
      <c r="B333" s="137"/>
      <c r="C333" s="137"/>
      <c r="D333" s="137"/>
      <c r="E333" s="137"/>
      <c r="F333" s="137"/>
      <c r="G333" s="137"/>
    </row>
    <row r="334" spans="1:7" ht="15">
      <c r="A334" s="137"/>
      <c r="B334" s="137"/>
      <c r="C334" s="137"/>
      <c r="D334" s="137"/>
      <c r="E334" s="137"/>
      <c r="F334" s="137"/>
      <c r="G334" s="137"/>
    </row>
    <row r="335" spans="1:7" ht="15">
      <c r="A335" s="137"/>
      <c r="B335" s="137"/>
      <c r="C335" s="137"/>
      <c r="D335" s="137"/>
      <c r="E335" s="137"/>
      <c r="F335" s="137"/>
      <c r="G335" s="137"/>
    </row>
    <row r="336" spans="1:7" ht="15">
      <c r="A336" s="137"/>
      <c r="B336" s="137"/>
      <c r="C336" s="137"/>
      <c r="D336" s="137"/>
      <c r="E336" s="137"/>
      <c r="F336" s="137"/>
      <c r="G336" s="137"/>
    </row>
    <row r="337" spans="1:7" ht="15">
      <c r="A337" s="137"/>
      <c r="B337" s="137"/>
      <c r="C337" s="137"/>
      <c r="D337" s="137"/>
      <c r="E337" s="137"/>
      <c r="F337" s="137"/>
      <c r="G337" s="137"/>
    </row>
    <row r="338" spans="1:7" ht="15">
      <c r="A338" s="137"/>
      <c r="B338" s="137"/>
      <c r="C338" s="137"/>
      <c r="D338" s="137"/>
      <c r="E338" s="137"/>
      <c r="F338" s="137"/>
      <c r="G338" s="137"/>
    </row>
    <row r="339" spans="1:7" ht="15">
      <c r="A339" s="137"/>
      <c r="B339" s="137"/>
      <c r="C339" s="137"/>
      <c r="D339" s="137"/>
      <c r="E339" s="137"/>
      <c r="F339" s="137"/>
      <c r="G339" s="137"/>
    </row>
    <row r="340" spans="1:7" ht="15">
      <c r="A340" s="137"/>
      <c r="B340" s="137"/>
      <c r="C340" s="137"/>
      <c r="D340" s="137"/>
      <c r="E340" s="137"/>
      <c r="F340" s="137"/>
      <c r="G340" s="137"/>
    </row>
    <row r="341" spans="1:7" ht="15">
      <c r="A341" s="137"/>
      <c r="B341" s="137"/>
      <c r="C341" s="137"/>
      <c r="D341" s="137"/>
      <c r="E341" s="137"/>
      <c r="F341" s="137"/>
      <c r="G341" s="137"/>
    </row>
    <row r="342" spans="1:7" ht="15">
      <c r="A342" s="137"/>
      <c r="B342" s="137"/>
      <c r="C342" s="137"/>
      <c r="D342" s="137"/>
      <c r="E342" s="137"/>
      <c r="F342" s="137"/>
      <c r="G342" s="137"/>
    </row>
    <row r="343" spans="1:7" ht="15">
      <c r="A343" s="137"/>
      <c r="B343" s="137"/>
      <c r="C343" s="137"/>
      <c r="D343" s="137"/>
      <c r="E343" s="137"/>
      <c r="F343" s="137"/>
      <c r="G343" s="137"/>
    </row>
    <row r="344" spans="1:7" ht="15">
      <c r="A344" s="137"/>
      <c r="B344" s="137"/>
      <c r="C344" s="137"/>
      <c r="D344" s="137"/>
      <c r="E344" s="137"/>
      <c r="F344" s="137"/>
      <c r="G344" s="137"/>
    </row>
    <row r="345" spans="1:7" ht="15">
      <c r="A345" s="137"/>
      <c r="B345" s="137"/>
      <c r="C345" s="137"/>
      <c r="D345" s="137"/>
      <c r="E345" s="137"/>
      <c r="F345" s="137"/>
      <c r="G345" s="137"/>
    </row>
    <row r="346" spans="1:7" ht="15">
      <c r="A346" s="137"/>
      <c r="B346" s="137"/>
      <c r="C346" s="137"/>
      <c r="D346" s="137"/>
      <c r="E346" s="137"/>
      <c r="F346" s="137"/>
      <c r="G346" s="137"/>
    </row>
    <row r="347" spans="1:7" ht="15">
      <c r="A347" s="137"/>
      <c r="B347" s="137"/>
      <c r="C347" s="137"/>
      <c r="D347" s="137"/>
      <c r="E347" s="137"/>
      <c r="F347" s="137"/>
      <c r="G347" s="137"/>
    </row>
    <row r="348" spans="1:7" ht="15">
      <c r="A348" s="137"/>
      <c r="B348" s="137"/>
      <c r="C348" s="137"/>
      <c r="D348" s="137"/>
      <c r="E348" s="137"/>
      <c r="F348" s="137"/>
      <c r="G348" s="137"/>
    </row>
    <row r="349" spans="1:7" ht="15">
      <c r="A349" s="137"/>
      <c r="B349" s="137"/>
      <c r="C349" s="137"/>
      <c r="D349" s="137"/>
      <c r="E349" s="137"/>
      <c r="F349" s="137"/>
      <c r="G349" s="137"/>
    </row>
    <row r="350" spans="1:7" ht="15">
      <c r="A350" s="137"/>
      <c r="B350" s="137"/>
      <c r="C350" s="137"/>
      <c r="D350" s="137"/>
      <c r="E350" s="137"/>
      <c r="F350" s="137"/>
      <c r="G350" s="137"/>
    </row>
    <row r="351" spans="1:7" ht="15">
      <c r="A351" s="137"/>
      <c r="B351" s="137"/>
      <c r="C351" s="137"/>
      <c r="D351" s="137"/>
      <c r="E351" s="137"/>
      <c r="F351" s="137"/>
      <c r="G351" s="137"/>
    </row>
    <row r="352" spans="1:7" ht="15">
      <c r="A352" s="137"/>
      <c r="B352" s="137"/>
      <c r="C352" s="137"/>
      <c r="D352" s="137"/>
      <c r="E352" s="137"/>
      <c r="F352" s="137"/>
      <c r="G352" s="137"/>
    </row>
    <row r="353" spans="1:7" ht="15">
      <c r="A353" s="137"/>
      <c r="B353" s="137"/>
      <c r="C353" s="137"/>
      <c r="D353" s="137"/>
      <c r="E353" s="137"/>
      <c r="F353" s="137"/>
      <c r="G353" s="137"/>
    </row>
    <row r="354" spans="1:7" ht="15">
      <c r="A354" s="137"/>
      <c r="B354" s="137"/>
      <c r="C354" s="137"/>
      <c r="D354" s="137"/>
      <c r="E354" s="137"/>
      <c r="F354" s="137"/>
      <c r="G354" s="137"/>
    </row>
    <row r="355" spans="1:7" ht="15">
      <c r="A355" s="137"/>
      <c r="B355" s="137"/>
      <c r="C355" s="137"/>
      <c r="D355" s="137"/>
      <c r="E355" s="137"/>
      <c r="F355" s="137"/>
      <c r="G355" s="137"/>
    </row>
    <row r="356" spans="1:7" ht="15">
      <c r="A356" s="137"/>
      <c r="B356" s="137"/>
      <c r="C356" s="137"/>
      <c r="D356" s="137"/>
      <c r="E356" s="137"/>
      <c r="F356" s="137"/>
      <c r="G356" s="137"/>
    </row>
    <row r="357" spans="1:7" ht="15">
      <c r="A357" s="137"/>
      <c r="B357" s="137"/>
      <c r="C357" s="137"/>
      <c r="D357" s="137"/>
      <c r="E357" s="137"/>
      <c r="F357" s="137"/>
      <c r="G357" s="137"/>
    </row>
    <row r="358" spans="1:7" ht="15">
      <c r="A358" s="137"/>
      <c r="B358" s="137"/>
      <c r="C358" s="137"/>
      <c r="D358" s="137"/>
      <c r="E358" s="137"/>
      <c r="F358" s="137"/>
      <c r="G358" s="137"/>
    </row>
    <row r="359" spans="1:7" ht="15">
      <c r="A359" s="137"/>
      <c r="B359" s="137"/>
      <c r="C359" s="137"/>
      <c r="D359" s="137"/>
      <c r="E359" s="137"/>
      <c r="F359" s="137"/>
      <c r="G359" s="137"/>
    </row>
    <row r="360" spans="1:7" ht="15">
      <c r="A360" s="137"/>
      <c r="B360" s="137"/>
      <c r="C360" s="137"/>
      <c r="D360" s="137"/>
      <c r="E360" s="137"/>
      <c r="F360" s="137"/>
      <c r="G360" s="137"/>
    </row>
    <row r="361" spans="1:7" ht="15">
      <c r="A361" s="137"/>
      <c r="B361" s="137"/>
      <c r="C361" s="137"/>
      <c r="D361" s="137"/>
      <c r="E361" s="137"/>
      <c r="F361" s="137"/>
      <c r="G361" s="137"/>
    </row>
    <row r="362" spans="1:7" ht="15">
      <c r="A362" s="137"/>
      <c r="B362" s="137"/>
      <c r="C362" s="137"/>
      <c r="D362" s="137"/>
      <c r="E362" s="137"/>
      <c r="F362" s="137"/>
      <c r="G362" s="137"/>
    </row>
    <row r="363" spans="1:7" ht="15">
      <c r="A363" s="137"/>
      <c r="B363" s="137"/>
      <c r="C363" s="137"/>
      <c r="D363" s="137"/>
      <c r="E363" s="137"/>
      <c r="F363" s="137"/>
      <c r="G363" s="137"/>
    </row>
    <row r="364" spans="1:7" ht="15">
      <c r="A364" s="137"/>
      <c r="B364" s="137"/>
      <c r="C364" s="137"/>
      <c r="D364" s="137"/>
      <c r="E364" s="137"/>
      <c r="F364" s="137"/>
      <c r="G364" s="137"/>
    </row>
    <row r="365" spans="1:7" ht="15">
      <c r="A365" s="137"/>
      <c r="B365" s="137"/>
      <c r="C365" s="137"/>
      <c r="D365" s="137"/>
      <c r="E365" s="137"/>
      <c r="F365" s="137"/>
      <c r="G365" s="137"/>
    </row>
    <row r="366" spans="1:7" ht="15">
      <c r="A366" s="137"/>
      <c r="B366" s="137"/>
      <c r="C366" s="137"/>
      <c r="D366" s="137"/>
      <c r="E366" s="137"/>
      <c r="F366" s="137"/>
      <c r="G366" s="137"/>
    </row>
    <row r="367" spans="1:7" ht="15">
      <c r="A367" s="137"/>
      <c r="B367" s="137"/>
      <c r="C367" s="137"/>
      <c r="D367" s="137"/>
      <c r="E367" s="137"/>
      <c r="F367" s="137"/>
      <c r="G367" s="137"/>
    </row>
    <row r="368" spans="1:7" ht="15">
      <c r="A368" s="137"/>
      <c r="B368" s="137"/>
      <c r="C368" s="137"/>
      <c r="D368" s="137"/>
      <c r="E368" s="137"/>
      <c r="F368" s="137"/>
      <c r="G368" s="137"/>
    </row>
    <row r="369" spans="1:7" ht="15">
      <c r="A369" s="137"/>
      <c r="B369" s="137"/>
      <c r="C369" s="137"/>
      <c r="D369" s="137"/>
      <c r="E369" s="137"/>
      <c r="F369" s="137"/>
      <c r="G369" s="137"/>
    </row>
    <row r="370" spans="1:7" ht="15">
      <c r="A370" s="137"/>
      <c r="B370" s="137"/>
      <c r="C370" s="137"/>
      <c r="D370" s="137"/>
      <c r="E370" s="137"/>
      <c r="F370" s="137"/>
      <c r="G370" s="137"/>
    </row>
    <row r="371" spans="1:7" ht="15">
      <c r="A371" s="137"/>
      <c r="B371" s="137"/>
      <c r="C371" s="137"/>
      <c r="D371" s="137"/>
      <c r="E371" s="137"/>
      <c r="F371" s="137"/>
      <c r="G371" s="137"/>
    </row>
    <row r="372" spans="1:7" ht="15">
      <c r="A372" s="137"/>
      <c r="B372" s="137"/>
      <c r="C372" s="137"/>
      <c r="D372" s="137"/>
      <c r="E372" s="137"/>
      <c r="F372" s="137"/>
      <c r="G372" s="137"/>
    </row>
    <row r="373" spans="1:7" ht="15">
      <c r="A373" s="137"/>
      <c r="B373" s="137"/>
      <c r="C373" s="137"/>
      <c r="D373" s="137"/>
      <c r="E373" s="137"/>
      <c r="F373" s="137"/>
      <c r="G373" s="137"/>
    </row>
    <row r="374" spans="1:7" ht="15">
      <c r="A374" s="137"/>
      <c r="B374" s="137"/>
      <c r="C374" s="137"/>
      <c r="D374" s="137"/>
      <c r="E374" s="137"/>
      <c r="F374" s="137"/>
      <c r="G374" s="137"/>
    </row>
    <row r="375" spans="1:7" ht="15">
      <c r="A375" s="137"/>
      <c r="B375" s="137"/>
      <c r="C375" s="137"/>
      <c r="D375" s="137"/>
      <c r="E375" s="137"/>
      <c r="F375" s="137"/>
      <c r="G375" s="137"/>
    </row>
    <row r="376" spans="1:7" ht="15">
      <c r="A376" s="137"/>
      <c r="B376" s="137"/>
      <c r="C376" s="137"/>
      <c r="D376" s="137"/>
      <c r="E376" s="137"/>
      <c r="F376" s="137"/>
      <c r="G376" s="137"/>
    </row>
    <row r="377" spans="1:7" ht="15">
      <c r="A377" s="137"/>
      <c r="B377" s="137"/>
      <c r="C377" s="137"/>
      <c r="D377" s="137"/>
      <c r="E377" s="137"/>
      <c r="F377" s="137"/>
      <c r="G377" s="137"/>
    </row>
    <row r="378" spans="1:7" ht="15">
      <c r="A378" s="137"/>
      <c r="B378" s="137"/>
      <c r="C378" s="137"/>
      <c r="D378" s="137"/>
      <c r="E378" s="137"/>
      <c r="F378" s="137"/>
      <c r="G378" s="137"/>
    </row>
    <row r="379" spans="1:7" ht="15">
      <c r="A379" s="137"/>
      <c r="B379" s="137"/>
      <c r="C379" s="137"/>
      <c r="D379" s="137"/>
      <c r="E379" s="137"/>
      <c r="F379" s="137"/>
      <c r="G379" s="137"/>
    </row>
    <row r="380" spans="1:7" ht="15">
      <c r="A380" s="137"/>
      <c r="B380" s="137"/>
      <c r="C380" s="137"/>
      <c r="D380" s="137"/>
      <c r="E380" s="137"/>
      <c r="F380" s="137"/>
      <c r="G380" s="137"/>
    </row>
    <row r="381" spans="1:7" ht="15">
      <c r="A381" s="137"/>
      <c r="B381" s="137"/>
      <c r="C381" s="137"/>
      <c r="D381" s="137"/>
      <c r="E381" s="137"/>
      <c r="F381" s="137"/>
      <c r="G381" s="137"/>
    </row>
    <row r="382" spans="1:7" ht="15">
      <c r="A382" s="137"/>
      <c r="B382" s="137"/>
      <c r="C382" s="137"/>
      <c r="D382" s="137"/>
      <c r="E382" s="137"/>
      <c r="F382" s="137"/>
      <c r="G382" s="137"/>
    </row>
    <row r="383" spans="1:7" ht="15">
      <c r="A383" s="137"/>
      <c r="B383" s="137"/>
      <c r="C383" s="137"/>
      <c r="D383" s="137"/>
      <c r="E383" s="137"/>
      <c r="F383" s="137"/>
      <c r="G383" s="137"/>
    </row>
    <row r="384" spans="1:7" ht="15">
      <c r="A384" s="137"/>
      <c r="B384" s="137"/>
      <c r="C384" s="137"/>
      <c r="D384" s="137"/>
      <c r="E384" s="137"/>
      <c r="F384" s="137"/>
      <c r="G384" s="137"/>
    </row>
    <row r="385" spans="1:7" ht="15">
      <c r="A385" s="137"/>
      <c r="B385" s="137"/>
      <c r="C385" s="137"/>
      <c r="D385" s="137"/>
      <c r="E385" s="137"/>
      <c r="F385" s="137"/>
      <c r="G385" s="137"/>
    </row>
    <row r="386" spans="1:7" ht="15">
      <c r="A386" s="137"/>
      <c r="B386" s="137"/>
      <c r="C386" s="137"/>
      <c r="D386" s="137"/>
      <c r="E386" s="137"/>
      <c r="F386" s="137"/>
      <c r="G386" s="137"/>
    </row>
    <row r="387" spans="1:7" ht="15">
      <c r="A387" s="137"/>
      <c r="B387" s="137"/>
      <c r="C387" s="137"/>
      <c r="D387" s="137"/>
      <c r="E387" s="137"/>
      <c r="F387" s="137"/>
      <c r="G387" s="137"/>
    </row>
    <row r="388" spans="1:7" ht="15">
      <c r="A388" s="137"/>
      <c r="B388" s="137"/>
      <c r="C388" s="137"/>
      <c r="D388" s="137"/>
      <c r="E388" s="137"/>
      <c r="F388" s="137"/>
      <c r="G388" s="137"/>
    </row>
    <row r="389" spans="1:7" ht="15">
      <c r="A389" s="137"/>
      <c r="B389" s="137"/>
      <c r="C389" s="137"/>
      <c r="D389" s="137"/>
      <c r="E389" s="137"/>
      <c r="F389" s="137"/>
      <c r="G389" s="137"/>
    </row>
    <row r="390" spans="1:7" ht="15">
      <c r="A390" s="137"/>
      <c r="B390" s="137"/>
      <c r="C390" s="137"/>
      <c r="D390" s="137"/>
      <c r="E390" s="137"/>
      <c r="F390" s="137"/>
      <c r="G390" s="137"/>
    </row>
    <row r="391" spans="1:7" ht="15">
      <c r="A391" s="137"/>
      <c r="B391" s="137"/>
      <c r="C391" s="137"/>
      <c r="D391" s="137"/>
      <c r="E391" s="137"/>
      <c r="F391" s="137"/>
      <c r="G391" s="137"/>
    </row>
    <row r="392" spans="1:7" ht="15">
      <c r="A392" s="137"/>
      <c r="B392" s="137"/>
      <c r="C392" s="137"/>
      <c r="D392" s="137"/>
      <c r="E392" s="137"/>
      <c r="F392" s="137"/>
      <c r="G392" s="137"/>
    </row>
    <row r="393" spans="1:7" ht="15">
      <c r="A393" s="137"/>
      <c r="B393" s="137"/>
      <c r="C393" s="137"/>
      <c r="D393" s="137"/>
      <c r="E393" s="137"/>
      <c r="F393" s="137"/>
      <c r="G393" s="137"/>
    </row>
    <row r="394" spans="1:7" ht="15">
      <c r="A394" s="137"/>
      <c r="B394" s="137"/>
      <c r="C394" s="137"/>
      <c r="D394" s="137"/>
      <c r="E394" s="137"/>
      <c r="F394" s="137"/>
      <c r="G394" s="137"/>
    </row>
    <row r="395" spans="1:7" ht="15">
      <c r="A395" s="137"/>
      <c r="B395" s="137"/>
      <c r="C395" s="137"/>
      <c r="D395" s="137"/>
      <c r="E395" s="137"/>
      <c r="F395" s="137"/>
      <c r="G395" s="137"/>
    </row>
    <row r="396" spans="1:7" ht="15">
      <c r="A396" s="137"/>
      <c r="B396" s="137"/>
      <c r="C396" s="137"/>
      <c r="D396" s="137"/>
      <c r="E396" s="137"/>
      <c r="F396" s="137"/>
      <c r="G396" s="137"/>
    </row>
    <row r="397" spans="1:7" ht="15">
      <c r="A397" s="137"/>
      <c r="B397" s="137"/>
      <c r="C397" s="137"/>
      <c r="D397" s="137"/>
      <c r="E397" s="137"/>
      <c r="F397" s="137"/>
      <c r="G397" s="137"/>
    </row>
    <row r="398" spans="1:7" ht="15">
      <c r="A398" s="137"/>
      <c r="B398" s="137"/>
      <c r="C398" s="137"/>
      <c r="D398" s="137"/>
      <c r="E398" s="137"/>
      <c r="F398" s="137"/>
      <c r="G398" s="137"/>
    </row>
    <row r="399" spans="1:7" ht="15">
      <c r="A399" s="137"/>
      <c r="B399" s="137"/>
      <c r="C399" s="137"/>
      <c r="D399" s="137"/>
      <c r="E399" s="137"/>
      <c r="F399" s="137"/>
      <c r="G399" s="137"/>
    </row>
    <row r="400" spans="1:7" ht="15">
      <c r="A400" s="137"/>
      <c r="B400" s="137"/>
      <c r="C400" s="137"/>
      <c r="D400" s="137"/>
      <c r="E400" s="137"/>
      <c r="F400" s="137"/>
      <c r="G400" s="137"/>
    </row>
    <row r="401" spans="1:7" ht="15">
      <c r="A401" s="137"/>
      <c r="B401" s="137"/>
      <c r="C401" s="137"/>
      <c r="D401" s="137"/>
      <c r="E401" s="137"/>
      <c r="F401" s="137"/>
      <c r="G401" s="137"/>
    </row>
    <row r="402" spans="1:7" ht="15">
      <c r="A402" s="137"/>
      <c r="B402" s="137"/>
      <c r="C402" s="137"/>
      <c r="D402" s="137"/>
      <c r="E402" s="137"/>
      <c r="F402" s="137"/>
      <c r="G402" s="137"/>
    </row>
    <row r="403" spans="1:7" ht="15">
      <c r="A403" s="137"/>
      <c r="B403" s="137"/>
      <c r="C403" s="137"/>
      <c r="D403" s="137"/>
      <c r="E403" s="137"/>
      <c r="F403" s="137"/>
      <c r="G403" s="137"/>
    </row>
    <row r="404" spans="1:7" ht="15">
      <c r="A404" s="137"/>
      <c r="B404" s="137"/>
      <c r="C404" s="137"/>
      <c r="D404" s="137"/>
      <c r="E404" s="137"/>
      <c r="F404" s="137"/>
      <c r="G404" s="137"/>
    </row>
    <row r="405" spans="1:7" ht="15">
      <c r="A405" s="137"/>
      <c r="B405" s="137"/>
      <c r="C405" s="137"/>
      <c r="D405" s="137"/>
      <c r="E405" s="137"/>
      <c r="F405" s="137"/>
      <c r="G405" s="137"/>
    </row>
    <row r="406" spans="1:7" ht="15">
      <c r="A406" s="137"/>
      <c r="B406" s="137"/>
      <c r="C406" s="137"/>
      <c r="D406" s="137"/>
      <c r="E406" s="137"/>
      <c r="F406" s="137"/>
      <c r="G406" s="137"/>
    </row>
    <row r="407" spans="1:7" ht="15">
      <c r="A407" s="137"/>
      <c r="B407" s="137"/>
      <c r="C407" s="137"/>
      <c r="D407" s="137"/>
      <c r="E407" s="137"/>
      <c r="F407" s="137"/>
      <c r="G407" s="137"/>
    </row>
    <row r="408" spans="1:7" ht="15">
      <c r="A408" s="137"/>
      <c r="B408" s="137"/>
      <c r="C408" s="137"/>
      <c r="D408" s="137"/>
      <c r="E408" s="137"/>
      <c r="F408" s="137"/>
      <c r="G408" s="137"/>
    </row>
    <row r="409" spans="1:7" ht="15">
      <c r="A409" s="137"/>
      <c r="B409" s="137"/>
      <c r="C409" s="137"/>
      <c r="D409" s="137"/>
      <c r="E409" s="137"/>
      <c r="F409" s="137"/>
      <c r="G409" s="137"/>
    </row>
    <row r="410" spans="1:7" ht="15">
      <c r="A410" s="137"/>
      <c r="B410" s="137"/>
      <c r="C410" s="137"/>
      <c r="D410" s="137"/>
      <c r="E410" s="137"/>
      <c r="F410" s="137"/>
      <c r="G410" s="137"/>
    </row>
    <row r="411" spans="1:7" ht="15">
      <c r="A411" s="137"/>
      <c r="B411" s="137"/>
      <c r="C411" s="137"/>
      <c r="D411" s="137"/>
      <c r="E411" s="137"/>
      <c r="F411" s="137"/>
      <c r="G411" s="137"/>
    </row>
    <row r="412" spans="1:7" ht="15">
      <c r="A412" s="137"/>
      <c r="B412" s="137"/>
      <c r="C412" s="137"/>
      <c r="D412" s="137"/>
      <c r="E412" s="137"/>
      <c r="F412" s="137"/>
      <c r="G412" s="137"/>
    </row>
    <row r="413" spans="1:7" ht="15">
      <c r="A413" s="137"/>
      <c r="B413" s="137"/>
      <c r="C413" s="137"/>
      <c r="D413" s="137"/>
      <c r="E413" s="137"/>
      <c r="F413" s="137"/>
      <c r="G413" s="137"/>
    </row>
    <row r="414" spans="1:7" ht="15">
      <c r="A414" s="137"/>
      <c r="B414" s="137"/>
      <c r="C414" s="137"/>
      <c r="D414" s="137"/>
      <c r="E414" s="137"/>
      <c r="F414" s="137"/>
      <c r="G414" s="137"/>
    </row>
    <row r="415" spans="1:7" ht="15">
      <c r="A415" s="137"/>
      <c r="B415" s="137"/>
      <c r="C415" s="137"/>
      <c r="D415" s="137"/>
      <c r="E415" s="137"/>
      <c r="F415" s="137"/>
      <c r="G415" s="137"/>
    </row>
    <row r="416" spans="1:7" ht="15">
      <c r="A416" s="137"/>
      <c r="B416" s="137"/>
      <c r="C416" s="137"/>
      <c r="D416" s="137"/>
      <c r="E416" s="137"/>
      <c r="F416" s="137"/>
      <c r="G416" s="137"/>
    </row>
    <row r="417" spans="1:7" ht="15">
      <c r="A417" s="137"/>
      <c r="B417" s="137"/>
      <c r="C417" s="137"/>
      <c r="D417" s="137"/>
      <c r="E417" s="137"/>
      <c r="F417" s="137"/>
      <c r="G417" s="137"/>
    </row>
    <row r="418" spans="1:7" ht="15">
      <c r="A418" s="137"/>
      <c r="B418" s="137"/>
      <c r="C418" s="137"/>
      <c r="D418" s="137"/>
      <c r="E418" s="137"/>
      <c r="F418" s="137"/>
      <c r="G418" s="137"/>
    </row>
    <row r="419" spans="1:7" ht="15">
      <c r="A419" s="137"/>
      <c r="B419" s="137"/>
      <c r="C419" s="137"/>
      <c r="D419" s="137"/>
      <c r="E419" s="137"/>
      <c r="F419" s="137"/>
      <c r="G419" s="137"/>
    </row>
    <row r="420" spans="1:7" ht="15">
      <c r="A420" s="137"/>
      <c r="B420" s="137"/>
      <c r="C420" s="137"/>
      <c r="D420" s="137"/>
      <c r="E420" s="137"/>
      <c r="F420" s="137"/>
      <c r="G420" s="137"/>
    </row>
    <row r="421" spans="1:7" ht="15">
      <c r="A421" s="137"/>
      <c r="B421" s="137"/>
      <c r="C421" s="137"/>
      <c r="D421" s="137"/>
      <c r="E421" s="137"/>
      <c r="F421" s="137"/>
      <c r="G421" s="137"/>
    </row>
    <row r="422" spans="1:7" ht="15">
      <c r="A422" s="137"/>
      <c r="B422" s="137"/>
      <c r="C422" s="137"/>
      <c r="D422" s="137"/>
      <c r="E422" s="137"/>
      <c r="F422" s="137"/>
      <c r="G422" s="137"/>
    </row>
    <row r="423" spans="1:7" ht="15">
      <c r="A423" s="137"/>
      <c r="B423" s="137"/>
      <c r="C423" s="137"/>
      <c r="D423" s="137"/>
      <c r="E423" s="137"/>
      <c r="F423" s="137"/>
      <c r="G423" s="137"/>
    </row>
    <row r="424" spans="1:7" ht="15">
      <c r="A424" s="137"/>
      <c r="B424" s="137"/>
      <c r="C424" s="137"/>
      <c r="D424" s="137"/>
      <c r="E424" s="137"/>
      <c r="F424" s="137"/>
      <c r="G424" s="137"/>
    </row>
    <row r="425" spans="1:7" ht="15">
      <c r="A425" s="137"/>
      <c r="B425" s="137"/>
      <c r="C425" s="137"/>
      <c r="D425" s="137"/>
      <c r="E425" s="137"/>
      <c r="F425" s="137"/>
      <c r="G425" s="137"/>
    </row>
    <row r="426" spans="1:7" ht="15">
      <c r="A426" s="137"/>
      <c r="B426" s="137"/>
      <c r="C426" s="137"/>
      <c r="D426" s="137"/>
      <c r="E426" s="137"/>
      <c r="F426" s="137"/>
      <c r="G426" s="137"/>
    </row>
    <row r="427" spans="1:7" ht="15">
      <c r="A427" s="137"/>
      <c r="B427" s="137"/>
      <c r="C427" s="137"/>
      <c r="D427" s="137"/>
      <c r="E427" s="137"/>
      <c r="F427" s="137"/>
      <c r="G427" s="137"/>
    </row>
    <row r="428" spans="1:7" ht="15">
      <c r="A428" s="137"/>
      <c r="B428" s="137"/>
      <c r="C428" s="137"/>
      <c r="D428" s="137"/>
      <c r="E428" s="137"/>
      <c r="F428" s="137"/>
      <c r="G428" s="137"/>
    </row>
    <row r="429" spans="1:7" ht="15">
      <c r="A429" s="137"/>
      <c r="B429" s="137"/>
      <c r="C429" s="137"/>
      <c r="D429" s="137"/>
      <c r="E429" s="137"/>
      <c r="F429" s="137"/>
      <c r="G429" s="137"/>
    </row>
    <row r="430" spans="1:7" ht="15">
      <c r="A430" s="137"/>
      <c r="B430" s="137"/>
      <c r="C430" s="137"/>
      <c r="D430" s="137"/>
      <c r="E430" s="137"/>
      <c r="F430" s="137"/>
      <c r="G430" s="137"/>
    </row>
    <row r="431" spans="1:7" ht="15">
      <c r="A431" s="137"/>
      <c r="B431" s="137"/>
      <c r="C431" s="137"/>
      <c r="D431" s="137"/>
      <c r="E431" s="137"/>
      <c r="F431" s="137"/>
      <c r="G431" s="137"/>
    </row>
    <row r="432" spans="1:7" ht="15">
      <c r="A432" s="137"/>
      <c r="B432" s="137"/>
      <c r="C432" s="137"/>
      <c r="D432" s="137"/>
      <c r="E432" s="137"/>
      <c r="F432" s="137"/>
      <c r="G432" s="137"/>
    </row>
    <row r="433" spans="1:7" ht="15">
      <c r="A433" s="137"/>
      <c r="B433" s="137"/>
      <c r="C433" s="137"/>
      <c r="D433" s="137"/>
      <c r="E433" s="137"/>
      <c r="F433" s="137"/>
      <c r="G433" s="137"/>
    </row>
    <row r="434" spans="1:7" ht="15">
      <c r="A434" s="137"/>
      <c r="B434" s="137"/>
      <c r="C434" s="137"/>
      <c r="D434" s="137"/>
      <c r="E434" s="137"/>
      <c r="F434" s="137"/>
      <c r="G434" s="137"/>
    </row>
    <row r="435" spans="1:7" ht="15">
      <c r="A435" s="137"/>
      <c r="B435" s="137"/>
      <c r="C435" s="137"/>
      <c r="D435" s="137"/>
      <c r="E435" s="137"/>
      <c r="F435" s="137"/>
      <c r="G435" s="137"/>
    </row>
    <row r="436" spans="1:7" ht="15">
      <c r="A436" s="137"/>
      <c r="B436" s="137"/>
      <c r="C436" s="137"/>
      <c r="D436" s="137"/>
      <c r="E436" s="137"/>
      <c r="F436" s="137"/>
      <c r="G436" s="137"/>
    </row>
    <row r="437" spans="1:7" ht="15">
      <c r="A437" s="137"/>
      <c r="B437" s="137"/>
      <c r="C437" s="137"/>
      <c r="D437" s="137"/>
      <c r="E437" s="137"/>
      <c r="F437" s="137"/>
      <c r="G437" s="137"/>
    </row>
    <row r="438" spans="1:7" ht="15">
      <c r="A438" s="137"/>
      <c r="B438" s="137"/>
      <c r="C438" s="137"/>
      <c r="D438" s="137"/>
      <c r="E438" s="137"/>
      <c r="F438" s="137"/>
      <c r="G438" s="137"/>
    </row>
    <row r="439" spans="1:7" ht="15">
      <c r="A439" s="137"/>
      <c r="B439" s="137"/>
      <c r="C439" s="137"/>
      <c r="D439" s="137"/>
      <c r="E439" s="137"/>
      <c r="F439" s="137"/>
      <c r="G439" s="137"/>
    </row>
    <row r="440" spans="1:7" ht="15">
      <c r="A440" s="137"/>
      <c r="B440" s="137"/>
      <c r="C440" s="137"/>
      <c r="D440" s="137"/>
      <c r="E440" s="137"/>
      <c r="F440" s="137"/>
      <c r="G440" s="137"/>
    </row>
    <row r="441" spans="1:7" ht="15">
      <c r="A441" s="137"/>
      <c r="B441" s="137"/>
      <c r="C441" s="137"/>
      <c r="D441" s="137"/>
      <c r="E441" s="137"/>
      <c r="F441" s="137"/>
      <c r="G441" s="137"/>
    </row>
    <row r="442" spans="1:7" ht="15">
      <c r="A442" s="137"/>
      <c r="B442" s="137"/>
      <c r="C442" s="137"/>
      <c r="D442" s="137"/>
      <c r="E442" s="137"/>
      <c r="F442" s="137"/>
      <c r="G442" s="137"/>
    </row>
    <row r="443" spans="1:7" ht="15">
      <c r="A443" s="137"/>
      <c r="B443" s="137"/>
      <c r="C443" s="137"/>
      <c r="D443" s="137"/>
      <c r="E443" s="137"/>
      <c r="F443" s="137"/>
      <c r="G443" s="137"/>
    </row>
    <row r="444" spans="1:7" ht="15">
      <c r="A444" s="137"/>
      <c r="B444" s="137"/>
      <c r="C444" s="137"/>
      <c r="D444" s="137"/>
      <c r="E444" s="137"/>
      <c r="F444" s="137"/>
      <c r="G444" s="137"/>
    </row>
    <row r="445" spans="1:7" ht="15">
      <c r="A445" s="137"/>
      <c r="B445" s="137"/>
      <c r="C445" s="137"/>
      <c r="D445" s="137"/>
      <c r="E445" s="137"/>
      <c r="F445" s="137"/>
      <c r="G445" s="137"/>
    </row>
    <row r="446" spans="1:7" ht="15">
      <c r="A446" s="137"/>
      <c r="B446" s="137"/>
      <c r="C446" s="137"/>
      <c r="D446" s="137"/>
      <c r="E446" s="137"/>
      <c r="F446" s="137"/>
      <c r="G446" s="137"/>
    </row>
    <row r="447" spans="1:7" ht="15">
      <c r="A447" s="137"/>
      <c r="B447" s="137"/>
      <c r="C447" s="137"/>
      <c r="D447" s="137"/>
      <c r="E447" s="137"/>
      <c r="F447" s="137"/>
      <c r="G447" s="137"/>
    </row>
    <row r="448" spans="1:7" ht="15">
      <c r="A448" s="137"/>
      <c r="B448" s="137"/>
      <c r="C448" s="137"/>
      <c r="D448" s="137"/>
      <c r="E448" s="137"/>
      <c r="F448" s="137"/>
      <c r="G448" s="137"/>
    </row>
    <row r="449" spans="1:7" ht="15">
      <c r="A449" s="137"/>
      <c r="B449" s="137"/>
      <c r="C449" s="137"/>
      <c r="D449" s="137"/>
      <c r="E449" s="137"/>
      <c r="F449" s="137"/>
      <c r="G449" s="137"/>
    </row>
    <row r="450" spans="1:7" ht="15">
      <c r="A450" s="137"/>
      <c r="B450" s="137"/>
      <c r="C450" s="137"/>
      <c r="D450" s="137"/>
      <c r="E450" s="137"/>
      <c r="F450" s="137"/>
      <c r="G450" s="137"/>
    </row>
    <row r="451" spans="1:7" ht="15">
      <c r="A451" s="137"/>
      <c r="B451" s="137"/>
      <c r="C451" s="137"/>
      <c r="D451" s="137"/>
      <c r="E451" s="137"/>
      <c r="F451" s="137"/>
      <c r="G451" s="137"/>
    </row>
    <row r="452" spans="1:7" ht="15">
      <c r="A452" s="137"/>
      <c r="B452" s="137"/>
      <c r="C452" s="137"/>
      <c r="D452" s="137"/>
      <c r="E452" s="137"/>
      <c r="F452" s="137"/>
      <c r="G452" s="137"/>
    </row>
    <row r="453" spans="1:7" ht="15">
      <c r="A453" s="137"/>
      <c r="B453" s="137"/>
      <c r="C453" s="137"/>
      <c r="D453" s="137"/>
      <c r="E453" s="137"/>
      <c r="F453" s="137"/>
      <c r="G453" s="137"/>
    </row>
    <row r="454" spans="1:7" ht="15">
      <c r="A454" s="137"/>
      <c r="B454" s="137"/>
      <c r="C454" s="137"/>
      <c r="D454" s="137"/>
      <c r="E454" s="137"/>
      <c r="F454" s="137"/>
      <c r="G454" s="137"/>
    </row>
    <row r="455" spans="1:7" ht="15">
      <c r="A455" s="137"/>
      <c r="B455" s="137"/>
      <c r="C455" s="137"/>
      <c r="D455" s="137"/>
      <c r="E455" s="137"/>
      <c r="F455" s="137"/>
      <c r="G455" s="137"/>
    </row>
    <row r="456" spans="1:7" ht="15">
      <c r="A456" s="137"/>
      <c r="B456" s="137"/>
      <c r="C456" s="137"/>
      <c r="D456" s="137"/>
      <c r="E456" s="137"/>
      <c r="F456" s="137"/>
      <c r="G456" s="137"/>
    </row>
    <row r="457" spans="1:7" ht="15">
      <c r="A457" s="137"/>
      <c r="B457" s="137"/>
      <c r="C457" s="137"/>
      <c r="D457" s="137"/>
      <c r="E457" s="137"/>
      <c r="F457" s="137"/>
      <c r="G457" s="137"/>
    </row>
    <row r="458" spans="1:7" ht="15">
      <c r="A458" s="137"/>
      <c r="B458" s="137"/>
      <c r="C458" s="137"/>
      <c r="D458" s="137"/>
      <c r="E458" s="137"/>
      <c r="F458" s="137"/>
      <c r="G458" s="137"/>
    </row>
    <row r="459" spans="1:7" ht="15">
      <c r="A459" s="137"/>
      <c r="B459" s="137"/>
      <c r="C459" s="137"/>
      <c r="D459" s="137"/>
      <c r="E459" s="137"/>
      <c r="F459" s="137"/>
      <c r="G459" s="137"/>
    </row>
    <row r="460" spans="1:7" ht="15">
      <c r="A460" s="137"/>
      <c r="B460" s="137"/>
      <c r="C460" s="137"/>
      <c r="D460" s="137"/>
      <c r="E460" s="137"/>
      <c r="F460" s="137"/>
      <c r="G460" s="137"/>
    </row>
    <row r="461" spans="1:7" ht="15">
      <c r="A461" s="137"/>
      <c r="B461" s="137"/>
      <c r="C461" s="137"/>
      <c r="D461" s="137"/>
      <c r="E461" s="137"/>
      <c r="F461" s="137"/>
      <c r="G461" s="137"/>
    </row>
    <row r="462" spans="1:7" ht="15">
      <c r="A462" s="137"/>
      <c r="B462" s="137"/>
      <c r="C462" s="137"/>
      <c r="D462" s="137"/>
      <c r="E462" s="137"/>
      <c r="F462" s="137"/>
      <c r="G462" s="137"/>
    </row>
    <row r="463" spans="1:7" ht="15">
      <c r="A463" s="137"/>
      <c r="B463" s="137"/>
      <c r="C463" s="137"/>
      <c r="D463" s="137"/>
      <c r="E463" s="137"/>
      <c r="F463" s="137"/>
      <c r="G463" s="137"/>
    </row>
    <row r="464" spans="1:7" ht="15">
      <c r="A464" s="137"/>
      <c r="B464" s="137"/>
      <c r="C464" s="137"/>
      <c r="D464" s="137"/>
      <c r="E464" s="137"/>
      <c r="F464" s="137"/>
      <c r="G464" s="137"/>
    </row>
    <row r="465" spans="1:7" ht="15">
      <c r="A465" s="137"/>
      <c r="B465" s="137"/>
      <c r="C465" s="137"/>
      <c r="D465" s="137"/>
      <c r="E465" s="137"/>
      <c r="F465" s="137"/>
      <c r="G465" s="137"/>
    </row>
    <row r="466" spans="1:7" ht="15">
      <c r="A466" s="137"/>
      <c r="B466" s="137"/>
      <c r="C466" s="137"/>
      <c r="D466" s="137"/>
      <c r="E466" s="137"/>
      <c r="F466" s="137"/>
      <c r="G466" s="137"/>
    </row>
    <row r="467" spans="1:7" ht="15">
      <c r="A467" s="137"/>
      <c r="B467" s="137"/>
      <c r="C467" s="137"/>
      <c r="D467" s="137"/>
      <c r="E467" s="137"/>
      <c r="F467" s="137"/>
      <c r="G467" s="137"/>
    </row>
    <row r="468" spans="1:7" ht="15">
      <c r="A468" s="137"/>
      <c r="B468" s="137"/>
      <c r="C468" s="137"/>
      <c r="D468" s="137"/>
      <c r="E468" s="137"/>
      <c r="F468" s="137"/>
      <c r="G468" s="137"/>
    </row>
    <row r="469" spans="1:7" ht="15">
      <c r="A469" s="137"/>
      <c r="B469" s="137"/>
      <c r="C469" s="137"/>
      <c r="D469" s="137"/>
      <c r="E469" s="137"/>
      <c r="F469" s="137"/>
      <c r="G469" s="137"/>
    </row>
    <row r="470" spans="1:7" ht="15">
      <c r="A470" s="137"/>
      <c r="B470" s="137"/>
      <c r="C470" s="137"/>
      <c r="D470" s="137"/>
      <c r="E470" s="137"/>
      <c r="F470" s="137"/>
      <c r="G470" s="137"/>
    </row>
    <row r="471" spans="1:7" ht="15">
      <c r="A471" s="137"/>
      <c r="B471" s="137"/>
      <c r="C471" s="137"/>
      <c r="D471" s="137"/>
      <c r="E471" s="137"/>
      <c r="F471" s="137"/>
      <c r="G471" s="137"/>
    </row>
    <row r="472" spans="1:7" ht="15">
      <c r="A472" s="137"/>
      <c r="B472" s="137"/>
      <c r="C472" s="137"/>
      <c r="D472" s="137"/>
      <c r="E472" s="137"/>
      <c r="F472" s="137"/>
      <c r="G472" s="137"/>
    </row>
    <row r="473" spans="1:7" ht="15">
      <c r="A473" s="137"/>
      <c r="B473" s="137"/>
      <c r="C473" s="137"/>
      <c r="D473" s="137"/>
      <c r="E473" s="137"/>
      <c r="F473" s="137"/>
      <c r="G473" s="137"/>
    </row>
    <row r="474" spans="1:7" ht="15">
      <c r="A474" s="137"/>
      <c r="B474" s="137"/>
      <c r="C474" s="137"/>
      <c r="D474" s="137"/>
      <c r="E474" s="137"/>
      <c r="F474" s="137"/>
      <c r="G474" s="137"/>
    </row>
    <row r="475" spans="1:7" ht="15">
      <c r="A475" s="137"/>
      <c r="B475" s="137"/>
      <c r="C475" s="137"/>
      <c r="D475" s="137"/>
      <c r="E475" s="137"/>
      <c r="F475" s="137"/>
      <c r="G475" s="137"/>
    </row>
    <row r="476" spans="1:7" ht="15">
      <c r="A476" s="137"/>
      <c r="B476" s="137"/>
      <c r="C476" s="137"/>
      <c r="D476" s="137"/>
      <c r="E476" s="137"/>
      <c r="F476" s="137"/>
      <c r="G476" s="137"/>
    </row>
    <row r="477" spans="1:7" ht="15">
      <c r="A477" s="137"/>
      <c r="B477" s="137"/>
      <c r="C477" s="137"/>
      <c r="D477" s="137"/>
      <c r="E477" s="137"/>
      <c r="F477" s="137"/>
      <c r="G477" s="137"/>
    </row>
    <row r="478" spans="1:7" ht="15">
      <c r="A478" s="137"/>
      <c r="B478" s="137"/>
      <c r="C478" s="137"/>
      <c r="D478" s="137"/>
      <c r="E478" s="137"/>
      <c r="F478" s="137"/>
      <c r="G478" s="137"/>
    </row>
    <row r="479" spans="1:7" ht="15">
      <c r="A479" s="137"/>
      <c r="B479" s="137"/>
      <c r="C479" s="137"/>
      <c r="D479" s="137"/>
      <c r="E479" s="137"/>
      <c r="F479" s="137"/>
      <c r="G479" s="137"/>
    </row>
    <row r="480" spans="1:7" ht="15">
      <c r="A480" s="137"/>
      <c r="B480" s="137"/>
      <c r="C480" s="137"/>
      <c r="D480" s="137"/>
      <c r="E480" s="137"/>
      <c r="F480" s="137"/>
      <c r="G480" s="137"/>
    </row>
    <row r="481" spans="1:7" ht="15">
      <c r="A481" s="137"/>
      <c r="B481" s="137"/>
      <c r="C481" s="137"/>
      <c r="D481" s="137"/>
      <c r="E481" s="137"/>
      <c r="F481" s="137"/>
      <c r="G481" s="137"/>
    </row>
    <row r="482" spans="1:7" ht="15">
      <c r="A482" s="137"/>
      <c r="B482" s="137"/>
      <c r="C482" s="137"/>
      <c r="D482" s="137"/>
      <c r="E482" s="137"/>
      <c r="F482" s="137"/>
      <c r="G482" s="137"/>
    </row>
    <row r="483" spans="1:7" ht="15">
      <c r="A483" s="137"/>
      <c r="B483" s="137"/>
      <c r="C483" s="137"/>
      <c r="D483" s="137"/>
      <c r="E483" s="137"/>
      <c r="F483" s="137"/>
      <c r="G483" s="137"/>
    </row>
    <row r="484" spans="1:7" ht="15">
      <c r="A484" s="137"/>
      <c r="B484" s="137"/>
      <c r="C484" s="137"/>
      <c r="D484" s="137"/>
      <c r="E484" s="137"/>
      <c r="F484" s="137"/>
      <c r="G484" s="137"/>
    </row>
    <row r="485" spans="1:7" ht="15">
      <c r="A485" s="137"/>
      <c r="B485" s="137"/>
      <c r="C485" s="137"/>
      <c r="D485" s="137"/>
      <c r="E485" s="137"/>
      <c r="F485" s="137"/>
      <c r="G485" s="137"/>
    </row>
    <row r="486" spans="1:7" ht="15">
      <c r="A486" s="137"/>
      <c r="B486" s="137"/>
      <c r="C486" s="137"/>
      <c r="D486" s="137"/>
      <c r="E486" s="137"/>
      <c r="F486" s="137"/>
      <c r="G486" s="137"/>
    </row>
    <row r="487" spans="1:7" ht="15">
      <c r="A487" s="137"/>
      <c r="B487" s="137"/>
      <c r="C487" s="137"/>
      <c r="D487" s="137"/>
      <c r="E487" s="137"/>
      <c r="F487" s="137"/>
      <c r="G487" s="137"/>
    </row>
    <row r="488" spans="1:7" ht="15">
      <c r="A488" s="137"/>
      <c r="B488" s="137"/>
      <c r="C488" s="137"/>
      <c r="D488" s="137"/>
      <c r="E488" s="137"/>
      <c r="F488" s="137"/>
      <c r="G488" s="137"/>
    </row>
    <row r="489" spans="1:7" ht="15">
      <c r="A489" s="137"/>
      <c r="B489" s="137"/>
      <c r="C489" s="137"/>
      <c r="D489" s="137"/>
      <c r="E489" s="137"/>
      <c r="F489" s="137"/>
      <c r="G489" s="137"/>
    </row>
    <row r="490" spans="1:7" ht="15">
      <c r="A490" s="137"/>
      <c r="B490" s="137"/>
      <c r="C490" s="137"/>
      <c r="D490" s="137"/>
      <c r="E490" s="137"/>
      <c r="F490" s="137"/>
      <c r="G490" s="137"/>
    </row>
    <row r="491" spans="1:7" ht="15">
      <c r="A491" s="137"/>
      <c r="B491" s="137"/>
      <c r="C491" s="137"/>
      <c r="D491" s="137"/>
      <c r="E491" s="137"/>
      <c r="F491" s="137"/>
      <c r="G491" s="137"/>
    </row>
    <row r="492" spans="1:7" ht="15">
      <c r="A492" s="137"/>
      <c r="B492" s="137"/>
      <c r="C492" s="137"/>
      <c r="D492" s="137"/>
      <c r="E492" s="137"/>
      <c r="F492" s="137"/>
      <c r="G492" s="137"/>
    </row>
    <row r="493" spans="1:7" ht="15">
      <c r="A493" s="137"/>
      <c r="B493" s="137"/>
      <c r="C493" s="137"/>
      <c r="D493" s="137"/>
      <c r="E493" s="137"/>
      <c r="F493" s="137"/>
      <c r="G493" s="137"/>
    </row>
    <row r="494" spans="1:7" ht="15">
      <c r="A494" s="137"/>
      <c r="B494" s="137"/>
      <c r="C494" s="137"/>
      <c r="D494" s="137"/>
      <c r="E494" s="137"/>
      <c r="F494" s="137"/>
      <c r="G494" s="137"/>
    </row>
    <row r="495" spans="1:7" ht="15">
      <c r="A495" s="137"/>
      <c r="B495" s="137"/>
      <c r="C495" s="137"/>
      <c r="D495" s="137"/>
      <c r="E495" s="137"/>
      <c r="F495" s="137"/>
      <c r="G495" s="137"/>
    </row>
    <row r="496" spans="1:7" ht="15">
      <c r="A496" s="137"/>
      <c r="B496" s="137"/>
      <c r="C496" s="137"/>
      <c r="D496" s="137"/>
      <c r="E496" s="137"/>
      <c r="F496" s="137"/>
      <c r="G496" s="137"/>
    </row>
    <row r="497" spans="1:7" ht="15">
      <c r="A497" s="137"/>
      <c r="B497" s="137"/>
      <c r="C497" s="137"/>
      <c r="D497" s="137"/>
      <c r="E497" s="137"/>
      <c r="F497" s="137"/>
      <c r="G497" s="137"/>
    </row>
    <row r="498" spans="1:7" ht="15">
      <c r="A498" s="137"/>
      <c r="B498" s="137"/>
      <c r="C498" s="137"/>
      <c r="D498" s="137"/>
      <c r="E498" s="137"/>
      <c r="F498" s="137"/>
      <c r="G498" s="137"/>
    </row>
    <row r="499" spans="1:7" ht="15">
      <c r="A499" s="137"/>
      <c r="B499" s="137"/>
      <c r="C499" s="137"/>
      <c r="D499" s="137"/>
      <c r="E499" s="137"/>
      <c r="F499" s="137"/>
      <c r="G499" s="137"/>
    </row>
    <row r="500" spans="1:7" ht="15">
      <c r="A500" s="137"/>
      <c r="B500" s="137"/>
      <c r="C500" s="137"/>
      <c r="D500" s="137"/>
      <c r="E500" s="137"/>
      <c r="F500" s="137"/>
      <c r="G500" s="137"/>
    </row>
    <row r="501" spans="1:7" ht="15">
      <c r="A501" s="137"/>
      <c r="B501" s="137"/>
      <c r="C501" s="137"/>
      <c r="D501" s="137"/>
      <c r="E501" s="137"/>
      <c r="F501" s="137"/>
      <c r="G501" s="137"/>
    </row>
    <row r="502" spans="1:7" ht="15">
      <c r="A502" s="137"/>
      <c r="B502" s="137"/>
      <c r="C502" s="137"/>
      <c r="D502" s="137"/>
      <c r="E502" s="137"/>
      <c r="F502" s="137"/>
      <c r="G502" s="137"/>
    </row>
    <row r="503" spans="1:7" ht="15">
      <c r="A503" s="137"/>
      <c r="B503" s="137"/>
      <c r="C503" s="137"/>
      <c r="D503" s="137"/>
      <c r="E503" s="137"/>
      <c r="F503" s="137"/>
      <c r="G503" s="137"/>
    </row>
    <row r="504" spans="1:7" ht="15">
      <c r="A504" s="137"/>
      <c r="B504" s="137"/>
      <c r="C504" s="137"/>
      <c r="D504" s="137"/>
      <c r="E504" s="137"/>
      <c r="F504" s="137"/>
      <c r="G504" s="137"/>
    </row>
    <row r="505" spans="1:7" ht="15">
      <c r="A505" s="137"/>
      <c r="B505" s="137"/>
      <c r="C505" s="137"/>
      <c r="D505" s="137"/>
      <c r="E505" s="137"/>
      <c r="F505" s="137"/>
      <c r="G505" s="137"/>
    </row>
    <row r="506" spans="1:7" ht="15">
      <c r="A506" s="137"/>
      <c r="B506" s="137"/>
      <c r="C506" s="137"/>
      <c r="D506" s="137"/>
      <c r="E506" s="137"/>
      <c r="F506" s="137"/>
      <c r="G506" s="137"/>
    </row>
    <row r="507" spans="1:7" ht="15">
      <c r="A507" s="137"/>
      <c r="B507" s="137"/>
      <c r="C507" s="137"/>
      <c r="D507" s="137"/>
      <c r="E507" s="137"/>
      <c r="F507" s="137"/>
      <c r="G507" s="137"/>
    </row>
    <row r="508" spans="1:7" ht="15">
      <c r="A508" s="137"/>
      <c r="B508" s="137"/>
      <c r="C508" s="137"/>
      <c r="D508" s="137"/>
      <c r="E508" s="137"/>
      <c r="F508" s="137"/>
      <c r="G508" s="137"/>
    </row>
    <row r="509" spans="1:7" ht="15">
      <c r="A509" s="137"/>
      <c r="B509" s="137"/>
      <c r="C509" s="137"/>
      <c r="D509" s="137"/>
      <c r="E509" s="137"/>
      <c r="F509" s="137"/>
      <c r="G509" s="137"/>
    </row>
    <row r="510" spans="1:7" ht="15">
      <c r="A510" s="137"/>
      <c r="B510" s="137"/>
      <c r="C510" s="137"/>
      <c r="D510" s="137"/>
      <c r="E510" s="137"/>
      <c r="F510" s="137"/>
      <c r="G510" s="137"/>
    </row>
    <row r="511" spans="1:7" ht="15">
      <c r="A511" s="137"/>
      <c r="B511" s="137"/>
      <c r="C511" s="137"/>
      <c r="D511" s="137"/>
      <c r="E511" s="137"/>
      <c r="F511" s="137"/>
      <c r="G511" s="137"/>
    </row>
    <row r="512" spans="1:7" ht="15">
      <c r="A512" s="137"/>
      <c r="B512" s="137"/>
      <c r="C512" s="137"/>
      <c r="D512" s="137"/>
      <c r="E512" s="137"/>
      <c r="F512" s="137"/>
      <c r="G512" s="137"/>
    </row>
    <row r="513" spans="1:7" ht="15">
      <c r="A513" s="137"/>
      <c r="B513" s="137"/>
      <c r="C513" s="137"/>
      <c r="D513" s="137"/>
      <c r="E513" s="137"/>
      <c r="F513" s="137"/>
      <c r="G513" s="137"/>
    </row>
    <row r="514" spans="1:7" ht="15">
      <c r="A514" s="137"/>
      <c r="B514" s="137"/>
      <c r="C514" s="137"/>
      <c r="D514" s="137"/>
      <c r="E514" s="137"/>
      <c r="F514" s="137"/>
      <c r="G514" s="137"/>
    </row>
    <row r="515" spans="1:7" ht="15">
      <c r="A515" s="137"/>
      <c r="B515" s="137"/>
      <c r="C515" s="137"/>
      <c r="D515" s="137"/>
      <c r="E515" s="137"/>
      <c r="F515" s="137"/>
      <c r="G515" s="137"/>
    </row>
    <row r="516" spans="1:7" ht="15">
      <c r="A516" s="137"/>
      <c r="B516" s="137"/>
      <c r="C516" s="137"/>
      <c r="D516" s="137"/>
      <c r="E516" s="137"/>
      <c r="F516" s="137"/>
      <c r="G516" s="137"/>
    </row>
    <row r="517" spans="1:7" ht="15">
      <c r="A517" s="137"/>
      <c r="B517" s="137"/>
      <c r="C517" s="137"/>
      <c r="D517" s="137"/>
      <c r="E517" s="137"/>
      <c r="F517" s="137"/>
      <c r="G517" s="137"/>
    </row>
    <row r="518" spans="1:7" ht="15">
      <c r="A518" s="137"/>
      <c r="B518" s="137"/>
      <c r="C518" s="137"/>
      <c r="D518" s="137"/>
      <c r="E518" s="137"/>
      <c r="F518" s="137"/>
      <c r="G518" s="137"/>
    </row>
    <row r="519" spans="1:7" ht="15">
      <c r="A519" s="137"/>
      <c r="B519" s="137"/>
      <c r="C519" s="137"/>
      <c r="D519" s="137"/>
      <c r="E519" s="137"/>
      <c r="F519" s="137"/>
      <c r="G519" s="137"/>
    </row>
    <row r="520" spans="1:7" ht="15">
      <c r="A520" s="137"/>
      <c r="B520" s="137"/>
      <c r="C520" s="137"/>
      <c r="D520" s="137"/>
      <c r="E520" s="137"/>
      <c r="F520" s="137"/>
      <c r="G520" s="137"/>
    </row>
    <row r="521" spans="1:7" ht="15">
      <c r="A521" s="137"/>
      <c r="B521" s="137"/>
      <c r="C521" s="137"/>
      <c r="D521" s="137"/>
      <c r="E521" s="137"/>
      <c r="F521" s="137"/>
      <c r="G521" s="137"/>
    </row>
    <row r="522" spans="1:7" ht="15">
      <c r="A522" s="137"/>
      <c r="B522" s="137"/>
      <c r="C522" s="137"/>
      <c r="D522" s="137"/>
      <c r="E522" s="137"/>
      <c r="F522" s="137"/>
      <c r="G522" s="137"/>
    </row>
    <row r="523" spans="1:7" ht="15">
      <c r="A523" s="137"/>
      <c r="B523" s="137"/>
      <c r="C523" s="137"/>
      <c r="D523" s="137"/>
      <c r="E523" s="137"/>
      <c r="F523" s="137"/>
      <c r="G523" s="137"/>
    </row>
    <row r="524" spans="1:7" ht="15">
      <c r="A524" s="137"/>
      <c r="B524" s="137"/>
      <c r="C524" s="137"/>
      <c r="D524" s="137"/>
      <c r="E524" s="137"/>
      <c r="F524" s="137"/>
      <c r="G524" s="137"/>
    </row>
    <row r="525" spans="1:7" ht="15">
      <c r="A525" s="137"/>
      <c r="B525" s="137"/>
      <c r="C525" s="137"/>
      <c r="D525" s="137"/>
      <c r="E525" s="137"/>
      <c r="F525" s="137"/>
      <c r="G525" s="137"/>
    </row>
    <row r="526" spans="1:7" ht="15">
      <c r="A526" s="137"/>
      <c r="B526" s="137"/>
      <c r="C526" s="137"/>
      <c r="D526" s="137"/>
      <c r="E526" s="137"/>
      <c r="F526" s="137"/>
      <c r="G526" s="137"/>
    </row>
    <row r="527" spans="1:7" ht="15">
      <c r="A527" s="137"/>
      <c r="B527" s="137"/>
      <c r="C527" s="137"/>
      <c r="D527" s="137"/>
      <c r="E527" s="137"/>
      <c r="F527" s="137"/>
      <c r="G527" s="137"/>
    </row>
    <row r="528" spans="1:7" ht="15">
      <c r="A528" s="137"/>
      <c r="B528" s="137"/>
      <c r="C528" s="137"/>
      <c r="D528" s="137"/>
      <c r="E528" s="137"/>
      <c r="F528" s="137"/>
      <c r="G528" s="137"/>
    </row>
    <row r="529" spans="1:7" ht="15">
      <c r="A529" s="137"/>
      <c r="B529" s="137"/>
      <c r="C529" s="137"/>
      <c r="D529" s="137"/>
      <c r="E529" s="137"/>
      <c r="F529" s="137"/>
      <c r="G529" s="137"/>
    </row>
    <row r="530" spans="1:7" ht="15">
      <c r="A530" s="137"/>
      <c r="B530" s="137"/>
      <c r="C530" s="137"/>
      <c r="D530" s="137"/>
      <c r="E530" s="137"/>
      <c r="F530" s="137"/>
      <c r="G530" s="137"/>
    </row>
    <row r="531" spans="1:7" ht="15">
      <c r="A531" s="137"/>
      <c r="B531" s="137"/>
      <c r="C531" s="137"/>
      <c r="D531" s="137"/>
      <c r="E531" s="137"/>
      <c r="F531" s="137"/>
      <c r="G531" s="137"/>
    </row>
    <row r="532" spans="1:7" ht="15">
      <c r="A532" s="137"/>
      <c r="B532" s="137"/>
      <c r="C532" s="137"/>
      <c r="D532" s="137"/>
      <c r="E532" s="137"/>
      <c r="F532" s="137"/>
      <c r="G532" s="137"/>
    </row>
    <row r="533" spans="1:7" ht="15">
      <c r="A533" s="137"/>
      <c r="B533" s="137"/>
      <c r="C533" s="137"/>
      <c r="D533" s="137"/>
      <c r="E533" s="137"/>
      <c r="F533" s="137"/>
      <c r="G533" s="137"/>
    </row>
    <row r="534" spans="1:7" ht="15">
      <c r="A534" s="137"/>
      <c r="B534" s="137"/>
      <c r="C534" s="137"/>
      <c r="D534" s="137"/>
      <c r="E534" s="137"/>
      <c r="F534" s="137"/>
      <c r="G534" s="137"/>
    </row>
    <row r="535" spans="1:7" ht="15">
      <c r="A535" s="137"/>
      <c r="B535" s="137"/>
      <c r="C535" s="137"/>
      <c r="D535" s="137"/>
      <c r="E535" s="137"/>
      <c r="F535" s="137"/>
      <c r="G535" s="137"/>
    </row>
    <row r="536" spans="1:7" ht="15">
      <c r="A536" s="137"/>
      <c r="B536" s="137"/>
      <c r="C536" s="137"/>
      <c r="D536" s="137"/>
      <c r="E536" s="137"/>
      <c r="F536" s="137"/>
      <c r="G536" s="137"/>
    </row>
    <row r="537" spans="1:7" ht="15">
      <c r="A537" s="137"/>
      <c r="B537" s="137"/>
      <c r="C537" s="137"/>
      <c r="D537" s="137"/>
      <c r="E537" s="137"/>
      <c r="F537" s="137"/>
      <c r="G537" s="137"/>
    </row>
    <row r="538" spans="1:7" ht="15">
      <c r="A538" s="137"/>
      <c r="B538" s="137"/>
      <c r="C538" s="137"/>
      <c r="D538" s="137"/>
      <c r="E538" s="137"/>
      <c r="F538" s="137"/>
      <c r="G538" s="137"/>
    </row>
    <row r="539" spans="1:7" ht="15">
      <c r="A539" s="137"/>
      <c r="B539" s="137"/>
      <c r="C539" s="137"/>
      <c r="D539" s="137"/>
      <c r="E539" s="137"/>
      <c r="F539" s="137"/>
      <c r="G539" s="137"/>
    </row>
    <row r="540" spans="1:7" ht="15">
      <c r="A540" s="137"/>
      <c r="B540" s="137"/>
      <c r="C540" s="137"/>
      <c r="D540" s="137"/>
      <c r="E540" s="137"/>
      <c r="F540" s="137"/>
      <c r="G540" s="137"/>
    </row>
    <row r="541" spans="1:7" ht="15">
      <c r="A541" s="137"/>
      <c r="B541" s="137"/>
      <c r="C541" s="137"/>
      <c r="D541" s="137"/>
      <c r="E541" s="137"/>
      <c r="F541" s="137"/>
      <c r="G541" s="137"/>
    </row>
    <row r="542" spans="1:7" ht="15">
      <c r="A542" s="137"/>
      <c r="B542" s="137"/>
      <c r="C542" s="137"/>
      <c r="D542" s="137"/>
      <c r="E542" s="137"/>
      <c r="F542" s="137"/>
      <c r="G542" s="137"/>
    </row>
    <row r="543" spans="1:7" ht="15">
      <c r="A543" s="137"/>
      <c r="B543" s="137"/>
      <c r="C543" s="137"/>
      <c r="D543" s="137"/>
      <c r="E543" s="137"/>
      <c r="F543" s="137"/>
      <c r="G543" s="137"/>
    </row>
    <row r="544" spans="1:7" ht="15">
      <c r="A544" s="137"/>
      <c r="B544" s="137"/>
      <c r="C544" s="137"/>
      <c r="D544" s="137"/>
      <c r="E544" s="137"/>
      <c r="F544" s="137"/>
      <c r="G544" s="137"/>
    </row>
    <row r="545" spans="1:7" ht="15">
      <c r="A545" s="137"/>
      <c r="B545" s="137"/>
      <c r="C545" s="137"/>
      <c r="D545" s="137"/>
      <c r="E545" s="137"/>
      <c r="F545" s="137"/>
      <c r="G545" s="137"/>
    </row>
    <row r="546" spans="1:7" ht="15">
      <c r="A546" s="137"/>
      <c r="B546" s="137"/>
      <c r="C546" s="137"/>
      <c r="D546" s="137"/>
      <c r="E546" s="137"/>
      <c r="F546" s="137"/>
      <c r="G546" s="137"/>
    </row>
    <row r="547" spans="1:7" ht="15">
      <c r="A547" s="137"/>
      <c r="B547" s="137"/>
      <c r="C547" s="137"/>
      <c r="D547" s="137"/>
      <c r="E547" s="137"/>
      <c r="F547" s="137"/>
      <c r="G547" s="137"/>
    </row>
    <row r="548" spans="1:7" ht="15">
      <c r="A548" s="137"/>
      <c r="B548" s="137"/>
      <c r="C548" s="137"/>
      <c r="D548" s="137"/>
      <c r="E548" s="137"/>
      <c r="F548" s="137"/>
      <c r="G548" s="137"/>
    </row>
    <row r="549" spans="1:7" ht="15">
      <c r="A549" s="137"/>
      <c r="B549" s="137"/>
      <c r="C549" s="137"/>
      <c r="D549" s="137"/>
      <c r="E549" s="137"/>
      <c r="F549" s="137"/>
      <c r="G549" s="137"/>
    </row>
    <row r="550" spans="1:7" ht="15">
      <c r="A550" s="137"/>
      <c r="B550" s="137"/>
      <c r="C550" s="137"/>
      <c r="D550" s="137"/>
      <c r="E550" s="137"/>
      <c r="F550" s="137"/>
      <c r="G550" s="137"/>
    </row>
    <row r="551" spans="1:7" ht="15">
      <c r="A551" s="137"/>
      <c r="B551" s="137"/>
      <c r="C551" s="137"/>
      <c r="D551" s="137"/>
      <c r="E551" s="137"/>
      <c r="F551" s="137"/>
      <c r="G551" s="137"/>
    </row>
    <row r="552" spans="1:7" ht="15">
      <c r="A552" s="137"/>
      <c r="B552" s="137"/>
      <c r="C552" s="137"/>
      <c r="D552" s="137"/>
      <c r="E552" s="137"/>
      <c r="F552" s="137"/>
      <c r="G552" s="137"/>
    </row>
    <row r="553" spans="1:7" ht="15">
      <c r="A553" s="137"/>
      <c r="B553" s="137"/>
      <c r="C553" s="137"/>
      <c r="D553" s="137"/>
      <c r="E553" s="137"/>
      <c r="F553" s="137"/>
      <c r="G553" s="137"/>
    </row>
    <row r="554" spans="1:7" ht="15">
      <c r="A554" s="137"/>
      <c r="B554" s="137"/>
      <c r="C554" s="137"/>
      <c r="D554" s="137"/>
      <c r="E554" s="137"/>
      <c r="F554" s="137"/>
      <c r="G554" s="137"/>
    </row>
    <row r="555" spans="1:7" ht="15">
      <c r="A555" s="137"/>
      <c r="B555" s="137"/>
      <c r="C555" s="137"/>
      <c r="D555" s="137"/>
      <c r="E555" s="137"/>
      <c r="F555" s="137"/>
      <c r="G555" s="137"/>
    </row>
    <row r="556" spans="1:7" ht="15">
      <c r="A556" s="137"/>
      <c r="B556" s="137"/>
      <c r="C556" s="137"/>
      <c r="D556" s="137"/>
      <c r="E556" s="137"/>
      <c r="F556" s="137"/>
      <c r="G556" s="137"/>
    </row>
    <row r="557" spans="1:7" ht="15">
      <c r="A557" s="137"/>
      <c r="B557" s="137"/>
      <c r="C557" s="137"/>
      <c r="D557" s="137"/>
      <c r="E557" s="137"/>
      <c r="F557" s="137"/>
      <c r="G557" s="137"/>
    </row>
    <row r="558" spans="1:7" ht="15">
      <c r="A558" s="137"/>
      <c r="B558" s="137"/>
      <c r="C558" s="137"/>
      <c r="D558" s="137"/>
      <c r="E558" s="137"/>
      <c r="F558" s="137"/>
      <c r="G558" s="137"/>
    </row>
    <row r="559" spans="1:7" ht="15">
      <c r="A559" s="137"/>
      <c r="B559" s="137"/>
      <c r="C559" s="137"/>
      <c r="D559" s="137"/>
      <c r="E559" s="137"/>
      <c r="F559" s="137"/>
      <c r="G559" s="137"/>
    </row>
    <row r="560" spans="1:7" ht="15">
      <c r="A560" s="137"/>
      <c r="B560" s="137"/>
      <c r="C560" s="137"/>
      <c r="D560" s="137"/>
      <c r="E560" s="137"/>
      <c r="F560" s="137"/>
      <c r="G560" s="137"/>
    </row>
    <row r="561" spans="1:7" ht="15">
      <c r="A561" s="137"/>
      <c r="B561" s="137"/>
      <c r="C561" s="137"/>
      <c r="D561" s="137"/>
      <c r="E561" s="137"/>
      <c r="F561" s="137"/>
      <c r="G561" s="137"/>
    </row>
    <row r="562" spans="1:7" ht="15">
      <c r="A562" s="137"/>
      <c r="B562" s="137"/>
      <c r="C562" s="137"/>
      <c r="D562" s="137"/>
      <c r="E562" s="137"/>
      <c r="F562" s="137"/>
      <c r="G562" s="137"/>
    </row>
    <row r="563" spans="1:7" ht="15">
      <c r="A563" s="137"/>
      <c r="B563" s="137"/>
      <c r="C563" s="137"/>
      <c r="D563" s="137"/>
      <c r="E563" s="137"/>
      <c r="F563" s="137"/>
      <c r="G563" s="137"/>
    </row>
    <row r="564" spans="1:7" ht="15">
      <c r="A564" s="137"/>
      <c r="B564" s="137"/>
      <c r="C564" s="137"/>
      <c r="D564" s="137"/>
      <c r="E564" s="137"/>
      <c r="F564" s="137"/>
      <c r="G564" s="137"/>
    </row>
    <row r="565" spans="1:7" ht="15">
      <c r="A565" s="137"/>
      <c r="B565" s="137"/>
      <c r="C565" s="137"/>
      <c r="D565" s="137"/>
      <c r="E565" s="137"/>
      <c r="F565" s="137"/>
      <c r="G565" s="137"/>
    </row>
    <row r="566" spans="1:7" ht="15">
      <c r="A566" s="137"/>
      <c r="B566" s="137"/>
      <c r="C566" s="137"/>
      <c r="D566" s="137"/>
      <c r="E566" s="137"/>
      <c r="F566" s="137"/>
      <c r="G566" s="137"/>
    </row>
    <row r="567" spans="1:7" ht="15">
      <c r="A567" s="137"/>
      <c r="B567" s="137"/>
      <c r="C567" s="137"/>
      <c r="D567" s="137"/>
      <c r="E567" s="137"/>
      <c r="F567" s="137"/>
      <c r="G567" s="137"/>
    </row>
    <row r="568" spans="1:7" ht="15">
      <c r="A568" s="137"/>
      <c r="B568" s="137"/>
      <c r="C568" s="137"/>
      <c r="D568" s="137"/>
      <c r="E568" s="137"/>
      <c r="F568" s="137"/>
      <c r="G568" s="137"/>
    </row>
    <row r="569" spans="1:7" ht="15">
      <c r="A569" s="137"/>
      <c r="B569" s="137"/>
      <c r="C569" s="137"/>
      <c r="D569" s="137"/>
      <c r="E569" s="137"/>
      <c r="F569" s="137"/>
      <c r="G569" s="137"/>
    </row>
    <row r="570" spans="1:7" ht="15">
      <c r="A570" s="137"/>
      <c r="B570" s="137"/>
      <c r="C570" s="137"/>
      <c r="D570" s="137"/>
      <c r="E570" s="137"/>
      <c r="F570" s="137"/>
      <c r="G570" s="137"/>
    </row>
    <row r="571" spans="1:7" ht="15">
      <c r="A571" s="137"/>
      <c r="B571" s="137"/>
      <c r="C571" s="137"/>
      <c r="D571" s="137"/>
      <c r="E571" s="137"/>
      <c r="F571" s="137"/>
      <c r="G571" s="137"/>
    </row>
    <row r="572" spans="1:7" ht="15">
      <c r="A572" s="137"/>
      <c r="B572" s="137"/>
      <c r="C572" s="137"/>
      <c r="D572" s="137"/>
      <c r="E572" s="137"/>
      <c r="F572" s="137"/>
      <c r="G572" s="137"/>
    </row>
    <row r="573" spans="1:7" ht="15">
      <c r="A573" s="137"/>
      <c r="B573" s="137"/>
      <c r="C573" s="137"/>
      <c r="D573" s="137"/>
      <c r="E573" s="137"/>
      <c r="F573" s="137"/>
      <c r="G573" s="137"/>
    </row>
    <row r="574" spans="1:7" ht="15">
      <c r="A574" s="137"/>
      <c r="B574" s="137"/>
      <c r="C574" s="137"/>
      <c r="D574" s="137"/>
      <c r="E574" s="137"/>
      <c r="F574" s="137"/>
      <c r="G574" s="137"/>
    </row>
    <row r="575" spans="1:7" ht="15">
      <c r="A575" s="137"/>
      <c r="B575" s="137"/>
      <c r="C575" s="137"/>
      <c r="D575" s="137"/>
      <c r="E575" s="137"/>
      <c r="F575" s="137"/>
      <c r="G575" s="137"/>
    </row>
    <row r="576" spans="1:7" ht="15">
      <c r="A576" s="137"/>
      <c r="B576" s="137"/>
      <c r="C576" s="137"/>
      <c r="D576" s="137"/>
      <c r="E576" s="137"/>
      <c r="F576" s="137"/>
      <c r="G576" s="137"/>
    </row>
    <row r="577" spans="1:7" ht="15">
      <c r="A577" s="137"/>
      <c r="B577" s="137"/>
      <c r="C577" s="137"/>
      <c r="D577" s="137"/>
      <c r="E577" s="137"/>
      <c r="F577" s="137"/>
      <c r="G577" s="137"/>
    </row>
    <row r="578" spans="1:7" ht="15">
      <c r="A578" s="137"/>
      <c r="B578" s="137"/>
      <c r="C578" s="137"/>
      <c r="D578" s="137"/>
      <c r="E578" s="137"/>
      <c r="F578" s="137"/>
      <c r="G578" s="137"/>
    </row>
    <row r="579" spans="1:7" ht="15">
      <c r="A579" s="137"/>
      <c r="B579" s="137"/>
      <c r="C579" s="137"/>
      <c r="D579" s="137"/>
      <c r="E579" s="137"/>
      <c r="F579" s="137"/>
      <c r="G579" s="137"/>
    </row>
    <row r="580" spans="1:7" ht="15">
      <c r="A580" s="137"/>
      <c r="B580" s="137"/>
      <c r="C580" s="137"/>
      <c r="D580" s="137"/>
      <c r="E580" s="137"/>
      <c r="F580" s="137"/>
      <c r="G580" s="137"/>
    </row>
    <row r="581" spans="1:7" ht="15">
      <c r="A581" s="137"/>
      <c r="B581" s="137"/>
      <c r="C581" s="137"/>
      <c r="D581" s="137"/>
      <c r="E581" s="137"/>
      <c r="F581" s="137"/>
      <c r="G581" s="137"/>
    </row>
    <row r="582" spans="1:7" ht="15">
      <c r="A582" s="137"/>
      <c r="B582" s="137"/>
      <c r="C582" s="137"/>
      <c r="D582" s="137"/>
      <c r="E582" s="137"/>
      <c r="F582" s="137"/>
      <c r="G582" s="137"/>
    </row>
    <row r="583" spans="1:7" ht="15">
      <c r="A583" s="137"/>
      <c r="B583" s="137"/>
      <c r="C583" s="137"/>
      <c r="D583" s="137"/>
      <c r="E583" s="137"/>
      <c r="F583" s="137"/>
      <c r="G583" s="137"/>
    </row>
    <row r="584" spans="1:7" ht="15">
      <c r="A584" s="137"/>
      <c r="B584" s="137"/>
      <c r="C584" s="137"/>
      <c r="D584" s="137"/>
      <c r="E584" s="137"/>
      <c r="F584" s="137"/>
      <c r="G584" s="137"/>
    </row>
    <row r="585" spans="1:7" ht="15">
      <c r="A585" s="137"/>
      <c r="B585" s="137"/>
      <c r="C585" s="137"/>
      <c r="D585" s="137"/>
      <c r="E585" s="137"/>
      <c r="F585" s="137"/>
      <c r="G585" s="137"/>
    </row>
    <row r="586" spans="1:7" ht="15">
      <c r="A586" s="137"/>
      <c r="B586" s="137"/>
      <c r="C586" s="137"/>
      <c r="D586" s="137"/>
      <c r="E586" s="137"/>
      <c r="F586" s="137"/>
      <c r="G586" s="137"/>
    </row>
    <row r="587" spans="1:7" ht="15">
      <c r="A587" s="137"/>
      <c r="B587" s="137"/>
      <c r="C587" s="137"/>
      <c r="D587" s="137"/>
      <c r="E587" s="137"/>
      <c r="F587" s="137"/>
      <c r="G587" s="137"/>
    </row>
    <row r="588" spans="1:7" ht="15">
      <c r="A588" s="137"/>
      <c r="B588" s="137"/>
      <c r="C588" s="137"/>
      <c r="D588" s="137"/>
      <c r="E588" s="137"/>
      <c r="F588" s="137"/>
      <c r="G588" s="137"/>
    </row>
    <row r="589" spans="1:7" ht="15">
      <c r="A589" s="137"/>
      <c r="B589" s="137"/>
      <c r="C589" s="137"/>
      <c r="D589" s="137"/>
      <c r="E589" s="137"/>
      <c r="F589" s="137"/>
      <c r="G589" s="137"/>
    </row>
    <row r="590" spans="1:7" ht="15">
      <c r="A590" s="137"/>
      <c r="B590" s="137"/>
      <c r="C590" s="137"/>
      <c r="D590" s="137"/>
      <c r="E590" s="137"/>
      <c r="F590" s="137"/>
      <c r="G590" s="137"/>
    </row>
    <row r="591" spans="1:7" ht="15">
      <c r="A591" s="137"/>
      <c r="B591" s="137"/>
      <c r="C591" s="137"/>
      <c r="D591" s="137"/>
      <c r="E591" s="137"/>
      <c r="F591" s="137"/>
      <c r="G591" s="137"/>
    </row>
    <row r="592" spans="1:7" ht="15">
      <c r="A592" s="137"/>
      <c r="B592" s="137"/>
      <c r="C592" s="137"/>
      <c r="D592" s="137"/>
      <c r="E592" s="137"/>
      <c r="F592" s="137"/>
      <c r="G592" s="137"/>
    </row>
    <row r="593" spans="1:7" ht="15">
      <c r="A593" s="137"/>
      <c r="B593" s="137"/>
      <c r="C593" s="137"/>
      <c r="D593" s="137"/>
      <c r="E593" s="137"/>
      <c r="F593" s="137"/>
      <c r="G593" s="137"/>
    </row>
    <row r="594" spans="1:7" ht="15">
      <c r="A594" s="137"/>
      <c r="B594" s="137"/>
      <c r="C594" s="137"/>
      <c r="D594" s="137"/>
      <c r="E594" s="137"/>
      <c r="F594" s="137"/>
      <c r="G594" s="137"/>
    </row>
    <row r="595" spans="1:7" ht="15">
      <c r="A595" s="137"/>
      <c r="B595" s="137"/>
      <c r="C595" s="137"/>
      <c r="D595" s="137"/>
      <c r="E595" s="137"/>
      <c r="F595" s="137"/>
      <c r="G595" s="137"/>
    </row>
    <row r="596" spans="1:7" ht="15">
      <c r="A596" s="137"/>
      <c r="B596" s="137"/>
      <c r="C596" s="137"/>
      <c r="D596" s="137"/>
      <c r="E596" s="137"/>
      <c r="F596" s="137"/>
      <c r="G596" s="137"/>
    </row>
    <row r="597" spans="1:7" ht="15">
      <c r="A597" s="137"/>
      <c r="B597" s="137"/>
      <c r="C597" s="137"/>
      <c r="D597" s="137"/>
      <c r="E597" s="137"/>
      <c r="F597" s="137"/>
      <c r="G597" s="137"/>
    </row>
    <row r="598" spans="1:7" ht="15">
      <c r="A598" s="137"/>
      <c r="B598" s="137"/>
      <c r="C598" s="137"/>
      <c r="D598" s="137"/>
      <c r="E598" s="137"/>
      <c r="F598" s="137"/>
      <c r="G598" s="137"/>
    </row>
    <row r="599" spans="1:7" ht="15">
      <c r="A599" s="137"/>
      <c r="B599" s="137"/>
      <c r="C599" s="137"/>
      <c r="D599" s="137"/>
      <c r="E599" s="137"/>
      <c r="F599" s="137"/>
      <c r="G599" s="137"/>
    </row>
    <row r="600" spans="1:7" ht="15">
      <c r="A600" s="137"/>
      <c r="B600" s="137"/>
      <c r="C600" s="137"/>
      <c r="D600" s="137"/>
      <c r="E600" s="137"/>
      <c r="F600" s="137"/>
      <c r="G600" s="137"/>
    </row>
    <row r="601" spans="1:7" ht="15">
      <c r="A601" s="137"/>
      <c r="B601" s="137"/>
      <c r="C601" s="137"/>
      <c r="D601" s="137"/>
      <c r="E601" s="137"/>
      <c r="F601" s="137"/>
      <c r="G601" s="137"/>
    </row>
    <row r="602" spans="1:7" ht="15">
      <c r="A602" s="137"/>
      <c r="B602" s="137"/>
      <c r="C602" s="137"/>
      <c r="D602" s="137"/>
      <c r="E602" s="137"/>
      <c r="F602" s="137"/>
      <c r="G602" s="137"/>
    </row>
    <row r="603" spans="1:7" ht="15">
      <c r="A603" s="137"/>
      <c r="B603" s="137"/>
      <c r="C603" s="137"/>
      <c r="D603" s="137"/>
      <c r="E603" s="137"/>
      <c r="F603" s="137"/>
      <c r="G603" s="137"/>
    </row>
    <row r="604" spans="1:7" ht="15">
      <c r="A604" s="137"/>
      <c r="B604" s="137"/>
      <c r="C604" s="137"/>
      <c r="D604" s="137"/>
      <c r="E604" s="137"/>
      <c r="F604" s="137"/>
      <c r="G604" s="137"/>
    </row>
    <row r="605" spans="1:7" ht="15">
      <c r="A605" s="137"/>
      <c r="B605" s="137"/>
      <c r="C605" s="137"/>
      <c r="D605" s="137"/>
      <c r="E605" s="137"/>
      <c r="F605" s="137"/>
      <c r="G605" s="137"/>
    </row>
    <row r="606" spans="1:7" ht="15">
      <c r="A606" s="137"/>
      <c r="B606" s="137"/>
      <c r="C606" s="137"/>
      <c r="D606" s="137"/>
      <c r="E606" s="137"/>
      <c r="F606" s="137"/>
      <c r="G606" s="137"/>
    </row>
    <row r="607" spans="1:7" ht="15">
      <c r="A607" s="137"/>
      <c r="B607" s="137"/>
      <c r="C607" s="137"/>
      <c r="D607" s="137"/>
      <c r="E607" s="137"/>
      <c r="F607" s="137"/>
      <c r="G607" s="137"/>
    </row>
    <row r="608" spans="1:7" ht="15">
      <c r="A608" s="137"/>
      <c r="B608" s="137"/>
      <c r="C608" s="137"/>
      <c r="D608" s="137"/>
      <c r="E608" s="137"/>
      <c r="F608" s="137"/>
      <c r="G608" s="137"/>
    </row>
    <row r="609" spans="1:7" ht="15">
      <c r="A609" s="137"/>
      <c r="B609" s="137"/>
      <c r="C609" s="137"/>
      <c r="D609" s="137"/>
      <c r="E609" s="137"/>
      <c r="F609" s="137"/>
      <c r="G609" s="137"/>
    </row>
    <row r="610" spans="1:7" ht="15">
      <c r="A610" s="137"/>
      <c r="B610" s="137"/>
      <c r="C610" s="137"/>
      <c r="D610" s="137"/>
      <c r="E610" s="137"/>
      <c r="F610" s="137"/>
      <c r="G610" s="137"/>
    </row>
    <row r="611" spans="1:7" ht="15">
      <c r="A611" s="137"/>
      <c r="B611" s="137"/>
      <c r="C611" s="137"/>
      <c r="D611" s="137"/>
      <c r="E611" s="137"/>
      <c r="F611" s="137"/>
      <c r="G611" s="137"/>
    </row>
    <row r="612" spans="1:7" ht="15">
      <c r="A612" s="137"/>
      <c r="B612" s="137"/>
      <c r="C612" s="137"/>
      <c r="D612" s="137"/>
      <c r="E612" s="137"/>
      <c r="F612" s="137"/>
      <c r="G612" s="137"/>
    </row>
    <row r="613" spans="1:7" ht="15">
      <c r="A613" s="137"/>
      <c r="B613" s="137"/>
      <c r="C613" s="137"/>
      <c r="D613" s="137"/>
      <c r="E613" s="137"/>
      <c r="F613" s="137"/>
      <c r="G613" s="137"/>
    </row>
    <row r="614" spans="1:7" ht="15">
      <c r="A614" s="137"/>
      <c r="B614" s="137"/>
      <c r="C614" s="137"/>
      <c r="D614" s="137"/>
      <c r="E614" s="137"/>
      <c r="F614" s="137"/>
      <c r="G614" s="137"/>
    </row>
    <row r="615" spans="1:7" ht="15">
      <c r="A615" s="137"/>
      <c r="B615" s="137"/>
      <c r="C615" s="137"/>
      <c r="D615" s="137"/>
      <c r="E615" s="137"/>
      <c r="F615" s="137"/>
      <c r="G615" s="137"/>
    </row>
    <row r="616" spans="1:7" ht="15">
      <c r="A616" s="137"/>
      <c r="B616" s="137"/>
      <c r="C616" s="137"/>
      <c r="D616" s="137"/>
      <c r="E616" s="137"/>
      <c r="F616" s="137"/>
      <c r="G616" s="137"/>
    </row>
    <row r="617" spans="1:7" ht="15">
      <c r="A617" s="137"/>
      <c r="B617" s="137"/>
      <c r="C617" s="137"/>
      <c r="D617" s="137"/>
      <c r="E617" s="137"/>
      <c r="F617" s="137"/>
      <c r="G617" s="137"/>
    </row>
    <row r="618" spans="1:7" ht="15">
      <c r="A618" s="137"/>
      <c r="B618" s="137"/>
      <c r="C618" s="137"/>
      <c r="D618" s="137"/>
      <c r="E618" s="137"/>
      <c r="F618" s="137"/>
      <c r="G618" s="137"/>
    </row>
    <row r="619" spans="1:7" ht="15">
      <c r="A619" s="137"/>
      <c r="B619" s="137"/>
      <c r="C619" s="137"/>
      <c r="D619" s="137"/>
      <c r="E619" s="137"/>
      <c r="F619" s="137"/>
      <c r="G619" s="137"/>
    </row>
    <row r="620" spans="1:7" ht="15">
      <c r="A620" s="137"/>
      <c r="B620" s="137"/>
      <c r="C620" s="137"/>
      <c r="D620" s="137"/>
      <c r="E620" s="137"/>
      <c r="F620" s="137"/>
      <c r="G620" s="137"/>
    </row>
    <row r="621" spans="1:7" ht="15">
      <c r="A621" s="137"/>
      <c r="B621" s="137"/>
      <c r="C621" s="137"/>
      <c r="D621" s="137"/>
      <c r="E621" s="137"/>
      <c r="F621" s="137"/>
      <c r="G621" s="137"/>
    </row>
    <row r="622" spans="1:7" ht="15">
      <c r="A622" s="137"/>
      <c r="B622" s="137"/>
      <c r="C622" s="137"/>
      <c r="D622" s="137"/>
      <c r="E622" s="137"/>
      <c r="F622" s="137"/>
      <c r="G622" s="137"/>
    </row>
    <row r="623" spans="1:7" ht="15">
      <c r="A623" s="137"/>
      <c r="B623" s="137"/>
      <c r="C623" s="137"/>
      <c r="D623" s="137"/>
      <c r="E623" s="137"/>
      <c r="F623" s="137"/>
      <c r="G623" s="137"/>
    </row>
    <row r="624" spans="1:7" ht="15">
      <c r="A624" s="137"/>
      <c r="B624" s="137"/>
      <c r="C624" s="137"/>
      <c r="D624" s="137"/>
      <c r="E624" s="137"/>
      <c r="F624" s="137"/>
      <c r="G624" s="137"/>
    </row>
    <row r="625" spans="1:7" ht="15">
      <c r="A625" s="137"/>
      <c r="B625" s="137"/>
      <c r="C625" s="137"/>
      <c r="D625" s="137"/>
      <c r="E625" s="137"/>
      <c r="F625" s="137"/>
      <c r="G625" s="137"/>
    </row>
    <row r="626" spans="1:7" ht="15">
      <c r="A626" s="137"/>
      <c r="B626" s="137"/>
      <c r="C626" s="137"/>
      <c r="D626" s="137"/>
      <c r="E626" s="137"/>
      <c r="F626" s="137"/>
      <c r="G626" s="137"/>
    </row>
    <row r="627" spans="1:7" ht="15">
      <c r="A627" s="137"/>
      <c r="B627" s="137"/>
      <c r="C627" s="137"/>
      <c r="D627" s="137"/>
      <c r="E627" s="137"/>
      <c r="F627" s="137"/>
      <c r="G627" s="137"/>
    </row>
    <row r="628" spans="1:7" ht="15">
      <c r="A628" s="137"/>
      <c r="B628" s="137"/>
      <c r="C628" s="137"/>
      <c r="D628" s="137"/>
      <c r="E628" s="137"/>
      <c r="F628" s="137"/>
      <c r="G628" s="137"/>
    </row>
    <row r="629" spans="1:7" ht="15">
      <c r="A629" s="137"/>
      <c r="B629" s="137"/>
      <c r="C629" s="137"/>
      <c r="D629" s="137"/>
      <c r="E629" s="137"/>
      <c r="F629" s="137"/>
      <c r="G629" s="137"/>
    </row>
    <row r="630" spans="1:7" ht="15">
      <c r="A630" s="137"/>
      <c r="B630" s="137"/>
      <c r="C630" s="137"/>
      <c r="D630" s="137"/>
      <c r="E630" s="137"/>
      <c r="F630" s="137"/>
      <c r="G630" s="137"/>
    </row>
    <row r="631" spans="1:7" ht="15">
      <c r="A631" s="137"/>
      <c r="B631" s="137"/>
      <c r="C631" s="137"/>
      <c r="D631" s="137"/>
      <c r="E631" s="137"/>
      <c r="F631" s="137"/>
      <c r="G631" s="137"/>
    </row>
    <row r="632" spans="1:7" ht="15">
      <c r="A632" s="137"/>
      <c r="B632" s="137"/>
      <c r="C632" s="137"/>
      <c r="D632" s="137"/>
      <c r="E632" s="137"/>
      <c r="F632" s="137"/>
      <c r="G632" s="137"/>
    </row>
    <row r="633" spans="1:7" ht="15">
      <c r="A633" s="137"/>
      <c r="B633" s="137"/>
      <c r="C633" s="137"/>
      <c r="D633" s="137"/>
      <c r="E633" s="137"/>
      <c r="F633" s="137"/>
      <c r="G633" s="137"/>
    </row>
    <row r="634" spans="1:7" ht="15">
      <c r="A634" s="137"/>
      <c r="B634" s="137"/>
      <c r="C634" s="137"/>
      <c r="D634" s="137"/>
      <c r="E634" s="137"/>
      <c r="F634" s="137"/>
      <c r="G634" s="137"/>
    </row>
    <row r="635" spans="1:7" ht="15">
      <c r="A635" s="137"/>
      <c r="B635" s="137"/>
      <c r="C635" s="137"/>
      <c r="D635" s="137"/>
      <c r="E635" s="137"/>
      <c r="F635" s="137"/>
      <c r="G635" s="137"/>
    </row>
    <row r="636" spans="1:7" ht="15">
      <c r="A636" s="137"/>
      <c r="B636" s="137"/>
      <c r="C636" s="137"/>
      <c r="D636" s="137"/>
      <c r="E636" s="137"/>
      <c r="F636" s="137"/>
      <c r="G636" s="137"/>
    </row>
    <row r="637" spans="1:7" ht="15">
      <c r="A637" s="137"/>
      <c r="B637" s="137"/>
      <c r="C637" s="137"/>
      <c r="D637" s="137"/>
      <c r="E637" s="137"/>
      <c r="F637" s="137"/>
      <c r="G637" s="137"/>
    </row>
    <row r="638" spans="1:7" ht="15">
      <c r="A638" s="137"/>
      <c r="B638" s="137"/>
      <c r="C638" s="137"/>
      <c r="D638" s="137"/>
      <c r="E638" s="137"/>
      <c r="F638" s="137"/>
      <c r="G638" s="137"/>
    </row>
    <row r="639" spans="1:7" ht="15">
      <c r="A639" s="137"/>
      <c r="B639" s="137"/>
      <c r="C639" s="137"/>
      <c r="D639" s="137"/>
      <c r="E639" s="137"/>
      <c r="F639" s="137"/>
      <c r="G639" s="137"/>
    </row>
    <row r="640" spans="1:7" ht="15">
      <c r="A640" s="137"/>
      <c r="B640" s="137"/>
      <c r="C640" s="137"/>
      <c r="D640" s="137"/>
      <c r="E640" s="137"/>
      <c r="F640" s="137"/>
      <c r="G640" s="137"/>
    </row>
    <row r="641" spans="1:7" ht="15">
      <c r="A641" s="137"/>
      <c r="B641" s="137"/>
      <c r="C641" s="137"/>
      <c r="D641" s="137"/>
      <c r="E641" s="137"/>
      <c r="F641" s="137"/>
      <c r="G641" s="137"/>
    </row>
    <row r="642" spans="1:7" ht="15">
      <c r="A642" s="137"/>
      <c r="B642" s="137"/>
      <c r="C642" s="137"/>
      <c r="D642" s="137"/>
      <c r="E642" s="137"/>
      <c r="F642" s="137"/>
      <c r="G642" s="137"/>
    </row>
    <row r="643" spans="1:7" ht="15">
      <c r="A643" s="137"/>
      <c r="B643" s="137"/>
      <c r="C643" s="137"/>
      <c r="D643" s="137"/>
      <c r="E643" s="137"/>
      <c r="F643" s="137"/>
      <c r="G643" s="137"/>
    </row>
    <row r="644" spans="1:7" ht="15">
      <c r="A644" s="137"/>
      <c r="B644" s="137"/>
      <c r="C644" s="137"/>
      <c r="D644" s="137"/>
      <c r="E644" s="137"/>
      <c r="F644" s="137"/>
      <c r="G644" s="137"/>
    </row>
    <row r="645" spans="1:7" ht="15">
      <c r="A645" s="137"/>
      <c r="B645" s="137"/>
      <c r="C645" s="137"/>
      <c r="D645" s="137"/>
      <c r="E645" s="137"/>
      <c r="F645" s="137"/>
      <c r="G645" s="137"/>
    </row>
    <row r="646" spans="1:7" ht="15">
      <c r="A646" s="137"/>
      <c r="B646" s="137"/>
      <c r="C646" s="137"/>
      <c r="D646" s="137"/>
      <c r="E646" s="137"/>
      <c r="F646" s="137"/>
      <c r="G646" s="137"/>
    </row>
    <row r="647" spans="1:7" ht="15">
      <c r="A647" s="137"/>
      <c r="B647" s="137"/>
      <c r="C647" s="137"/>
      <c r="D647" s="137"/>
      <c r="E647" s="137"/>
      <c r="F647" s="137"/>
      <c r="G647" s="137"/>
    </row>
    <row r="648" spans="1:7" ht="15">
      <c r="A648" s="137"/>
      <c r="B648" s="137"/>
      <c r="C648" s="137"/>
      <c r="D648" s="137"/>
      <c r="E648" s="137"/>
      <c r="F648" s="137"/>
      <c r="G648" s="137"/>
    </row>
    <row r="649" spans="1:7" ht="15">
      <c r="A649" s="137"/>
      <c r="B649" s="137"/>
      <c r="C649" s="137"/>
      <c r="D649" s="137"/>
      <c r="E649" s="137"/>
      <c r="F649" s="137"/>
      <c r="G649" s="137"/>
    </row>
    <row r="650" spans="1:7" ht="15">
      <c r="A650" s="137"/>
      <c r="B650" s="137"/>
      <c r="C650" s="137"/>
      <c r="D650" s="137"/>
      <c r="E650" s="137"/>
      <c r="F650" s="137"/>
      <c r="G650" s="137"/>
    </row>
    <row r="651" spans="1:7" ht="15">
      <c r="A651" s="137"/>
      <c r="B651" s="137"/>
      <c r="C651" s="137"/>
      <c r="D651" s="137"/>
      <c r="E651" s="137"/>
      <c r="F651" s="137"/>
      <c r="G651" s="137"/>
    </row>
    <row r="652" spans="1:7" ht="15">
      <c r="A652" s="137"/>
      <c r="B652" s="137"/>
      <c r="C652" s="137"/>
      <c r="D652" s="137"/>
      <c r="E652" s="137"/>
      <c r="F652" s="137"/>
      <c r="G652" s="137"/>
    </row>
    <row r="653" spans="1:7" ht="15">
      <c r="A653" s="137"/>
      <c r="B653" s="137"/>
      <c r="C653" s="137"/>
      <c r="D653" s="137"/>
      <c r="E653" s="137"/>
      <c r="F653" s="137"/>
      <c r="G653" s="137"/>
    </row>
    <row r="654" spans="1:7" ht="15">
      <c r="A654" s="137"/>
      <c r="B654" s="137"/>
      <c r="C654" s="137"/>
      <c r="D654" s="137"/>
      <c r="E654" s="137"/>
      <c r="F654" s="137"/>
      <c r="G654" s="137"/>
    </row>
    <row r="655" spans="1:7" ht="15">
      <c r="A655" s="137"/>
      <c r="B655" s="137"/>
      <c r="C655" s="137"/>
      <c r="D655" s="137"/>
      <c r="E655" s="137"/>
      <c r="F655" s="137"/>
      <c r="G655" s="137"/>
    </row>
    <row r="656" spans="1:7" ht="15">
      <c r="A656" s="137"/>
      <c r="B656" s="137"/>
      <c r="C656" s="137"/>
      <c r="D656" s="137"/>
      <c r="E656" s="137"/>
      <c r="F656" s="137"/>
      <c r="G656" s="137"/>
    </row>
    <row r="657" spans="1:7" ht="15">
      <c r="A657" s="137"/>
      <c r="B657" s="137"/>
      <c r="C657" s="137"/>
      <c r="D657" s="137"/>
      <c r="E657" s="137"/>
      <c r="F657" s="137"/>
      <c r="G657" s="137"/>
    </row>
    <row r="658" spans="1:7" ht="15">
      <c r="A658" s="137"/>
      <c r="B658" s="137"/>
      <c r="C658" s="137"/>
      <c r="D658" s="137"/>
      <c r="E658" s="137"/>
      <c r="F658" s="137"/>
      <c r="G658" s="137"/>
    </row>
    <row r="659" spans="1:7" ht="15">
      <c r="A659" s="137"/>
      <c r="B659" s="137"/>
      <c r="C659" s="137"/>
      <c r="D659" s="137"/>
      <c r="E659" s="137"/>
      <c r="F659" s="137"/>
      <c r="G659" s="137"/>
    </row>
    <row r="660" spans="1:7" ht="15">
      <c r="A660" s="137"/>
      <c r="B660" s="137"/>
      <c r="C660" s="137"/>
      <c r="D660" s="137"/>
      <c r="E660" s="137"/>
      <c r="F660" s="137"/>
      <c r="G660" s="137"/>
    </row>
    <row r="661" spans="1:7" ht="15">
      <c r="A661" s="137"/>
      <c r="B661" s="137"/>
      <c r="C661" s="137"/>
      <c r="D661" s="137"/>
      <c r="E661" s="137"/>
      <c r="F661" s="137"/>
      <c r="G661" s="137"/>
    </row>
    <row r="662" spans="1:7" ht="15">
      <c r="A662" s="137"/>
      <c r="B662" s="137"/>
      <c r="C662" s="137"/>
      <c r="D662" s="137"/>
      <c r="E662" s="137"/>
      <c r="F662" s="137"/>
      <c r="G662" s="137"/>
    </row>
    <row r="663" spans="1:7" ht="15">
      <c r="A663" s="137"/>
      <c r="B663" s="137"/>
      <c r="C663" s="137"/>
      <c r="D663" s="137"/>
      <c r="E663" s="137"/>
      <c r="F663" s="137"/>
      <c r="G663" s="137"/>
    </row>
    <row r="664" spans="1:7" ht="15">
      <c r="A664" s="137"/>
      <c r="B664" s="137"/>
      <c r="C664" s="137"/>
      <c r="D664" s="137"/>
      <c r="E664" s="137"/>
      <c r="F664" s="137"/>
      <c r="G664" s="137"/>
    </row>
    <row r="665" spans="1:7" ht="15">
      <c r="A665" s="137"/>
      <c r="B665" s="137"/>
      <c r="C665" s="137"/>
      <c r="D665" s="137"/>
      <c r="E665" s="137"/>
      <c r="F665" s="137"/>
      <c r="G665" s="137"/>
    </row>
    <row r="666" spans="1:7" ht="15">
      <c r="A666" s="137"/>
      <c r="B666" s="137"/>
      <c r="C666" s="137"/>
      <c r="D666" s="137"/>
      <c r="E666" s="137"/>
      <c r="F666" s="137"/>
      <c r="G666" s="137"/>
    </row>
    <row r="667" spans="1:7" ht="15">
      <c r="A667" s="137"/>
      <c r="B667" s="137"/>
      <c r="C667" s="137"/>
      <c r="D667" s="137"/>
      <c r="E667" s="137"/>
      <c r="F667" s="137"/>
      <c r="G667" s="137"/>
    </row>
    <row r="668" spans="1:7" ht="15">
      <c r="A668" s="137"/>
      <c r="B668" s="137"/>
      <c r="C668" s="137"/>
      <c r="D668" s="137"/>
      <c r="E668" s="137"/>
      <c r="F668" s="137"/>
      <c r="G668" s="137"/>
    </row>
    <row r="669" spans="1:7" ht="15">
      <c r="A669" s="137"/>
      <c r="B669" s="137"/>
      <c r="C669" s="137"/>
      <c r="D669" s="137"/>
      <c r="E669" s="137"/>
      <c r="F669" s="137"/>
      <c r="G669" s="137"/>
    </row>
    <row r="670" spans="1:7" ht="15">
      <c r="A670" s="137"/>
      <c r="B670" s="137"/>
      <c r="C670" s="137"/>
      <c r="D670" s="137"/>
      <c r="E670" s="137"/>
      <c r="F670" s="137"/>
      <c r="G670" s="137"/>
    </row>
    <row r="671" spans="1:7" ht="15">
      <c r="A671" s="137"/>
      <c r="B671" s="137"/>
      <c r="C671" s="137"/>
      <c r="D671" s="137"/>
      <c r="E671" s="137"/>
      <c r="F671" s="137"/>
      <c r="G671" s="137"/>
    </row>
    <row r="672" spans="1:7" ht="15">
      <c r="A672" s="137"/>
      <c r="B672" s="137"/>
      <c r="C672" s="137"/>
      <c r="D672" s="137"/>
      <c r="E672" s="137"/>
      <c r="F672" s="137"/>
      <c r="G672" s="137"/>
    </row>
    <row r="673" spans="1:7" ht="15">
      <c r="A673" s="137"/>
      <c r="B673" s="137"/>
      <c r="C673" s="137"/>
      <c r="D673" s="137"/>
      <c r="E673" s="137"/>
      <c r="F673" s="137"/>
      <c r="G673" s="137"/>
    </row>
    <row r="674" spans="1:7" ht="15">
      <c r="A674" s="137"/>
      <c r="B674" s="137"/>
      <c r="C674" s="137"/>
      <c r="D674" s="137"/>
      <c r="E674" s="137"/>
      <c r="F674" s="137"/>
      <c r="G674" s="137"/>
    </row>
    <row r="675" spans="1:7" ht="15">
      <c r="A675" s="137"/>
      <c r="B675" s="137"/>
      <c r="C675" s="137"/>
      <c r="D675" s="137"/>
      <c r="E675" s="137"/>
      <c r="F675" s="137"/>
      <c r="G675" s="137"/>
    </row>
    <row r="676" spans="1:7" ht="15">
      <c r="A676" s="137"/>
      <c r="B676" s="137"/>
      <c r="C676" s="137"/>
      <c r="D676" s="137"/>
      <c r="E676" s="137"/>
      <c r="F676" s="137"/>
      <c r="G676" s="137"/>
    </row>
    <row r="677" spans="1:7" ht="15">
      <c r="A677" s="137"/>
      <c r="B677" s="137"/>
      <c r="C677" s="137"/>
      <c r="D677" s="137"/>
      <c r="E677" s="137"/>
      <c r="F677" s="137"/>
      <c r="G677" s="137"/>
    </row>
    <row r="678" spans="1:7" ht="15">
      <c r="A678" s="137"/>
      <c r="B678" s="137"/>
      <c r="C678" s="137"/>
      <c r="D678" s="137"/>
      <c r="E678" s="137"/>
      <c r="F678" s="137"/>
      <c r="G678" s="137"/>
    </row>
    <row r="679" spans="1:7" ht="15">
      <c r="A679" s="137"/>
      <c r="B679" s="137"/>
      <c r="C679" s="137"/>
      <c r="D679" s="137"/>
      <c r="E679" s="137"/>
      <c r="F679" s="137"/>
      <c r="G679" s="137"/>
    </row>
    <row r="680" spans="1:7" ht="15">
      <c r="A680" s="137"/>
      <c r="B680" s="137"/>
      <c r="C680" s="137"/>
      <c r="D680" s="137"/>
      <c r="E680" s="137"/>
      <c r="F680" s="137"/>
      <c r="G680" s="137"/>
    </row>
    <row r="681" spans="1:7" ht="15">
      <c r="A681" s="137"/>
      <c r="B681" s="137"/>
      <c r="C681" s="137"/>
      <c r="D681" s="137"/>
      <c r="E681" s="137"/>
      <c r="F681" s="137"/>
      <c r="G681" s="137"/>
    </row>
    <row r="682" spans="1:7" ht="15">
      <c r="A682" s="137"/>
      <c r="B682" s="137"/>
      <c r="C682" s="137"/>
      <c r="D682" s="137"/>
      <c r="E682" s="137"/>
      <c r="F682" s="137"/>
      <c r="G682" s="137"/>
    </row>
    <row r="683" spans="1:7" ht="15">
      <c r="A683" s="137"/>
      <c r="B683" s="137"/>
      <c r="C683" s="137"/>
      <c r="D683" s="137"/>
      <c r="E683" s="137"/>
      <c r="F683" s="137"/>
      <c r="G683" s="137"/>
    </row>
    <row r="684" spans="1:7" ht="15">
      <c r="A684" s="137"/>
      <c r="B684" s="137"/>
      <c r="C684" s="137"/>
      <c r="D684" s="137"/>
      <c r="E684" s="137"/>
      <c r="F684" s="137"/>
      <c r="G684" s="137"/>
    </row>
    <row r="685" spans="1:7" ht="15">
      <c r="A685" s="137"/>
      <c r="B685" s="137"/>
      <c r="C685" s="137"/>
      <c r="D685" s="137"/>
      <c r="E685" s="137"/>
      <c r="F685" s="137"/>
      <c r="G685" s="137"/>
    </row>
    <row r="686" spans="1:7" ht="15">
      <c r="A686" s="137"/>
      <c r="B686" s="137"/>
      <c r="C686" s="137"/>
      <c r="D686" s="137"/>
      <c r="E686" s="137"/>
      <c r="F686" s="137"/>
      <c r="G686" s="137"/>
    </row>
    <row r="687" spans="1:7" ht="15">
      <c r="A687" s="137"/>
      <c r="B687" s="137"/>
      <c r="C687" s="137"/>
      <c r="D687" s="137"/>
      <c r="E687" s="137"/>
      <c r="F687" s="137"/>
      <c r="G687" s="137"/>
    </row>
    <row r="688" spans="1:7" ht="15">
      <c r="A688" s="137"/>
      <c r="B688" s="137"/>
      <c r="C688" s="137"/>
      <c r="D688" s="137"/>
      <c r="E688" s="137"/>
      <c r="F688" s="137"/>
      <c r="G688" s="137"/>
    </row>
    <row r="689" spans="1:7" ht="15">
      <c r="A689" s="137"/>
      <c r="B689" s="137"/>
      <c r="C689" s="137"/>
      <c r="D689" s="137"/>
      <c r="E689" s="137"/>
      <c r="F689" s="137"/>
      <c r="G689" s="137"/>
    </row>
    <row r="690" spans="1:7" ht="15">
      <c r="A690" s="137"/>
      <c r="B690" s="137"/>
      <c r="C690" s="137"/>
      <c r="D690" s="137"/>
      <c r="E690" s="137"/>
      <c r="F690" s="137"/>
      <c r="G690" s="137"/>
    </row>
    <row r="691" spans="1:7" ht="15">
      <c r="A691" s="137"/>
      <c r="B691" s="137"/>
      <c r="C691" s="137"/>
      <c r="D691" s="137"/>
      <c r="E691" s="137"/>
      <c r="F691" s="137"/>
      <c r="G691" s="137"/>
    </row>
    <row r="692" spans="1:7" ht="15">
      <c r="A692" s="137"/>
      <c r="B692" s="137"/>
      <c r="C692" s="137"/>
      <c r="D692" s="137"/>
      <c r="E692" s="137"/>
      <c r="F692" s="137"/>
      <c r="G692" s="137"/>
    </row>
    <row r="693" spans="1:7" ht="15">
      <c r="A693" s="137"/>
      <c r="B693" s="137"/>
      <c r="C693" s="137"/>
      <c r="D693" s="137"/>
      <c r="E693" s="137"/>
      <c r="F693" s="137"/>
      <c r="G693" s="137"/>
    </row>
    <row r="694" spans="1:7" ht="15">
      <c r="A694" s="137"/>
      <c r="B694" s="137"/>
      <c r="C694" s="137"/>
      <c r="D694" s="137"/>
      <c r="E694" s="137"/>
      <c r="F694" s="137"/>
      <c r="G694" s="137"/>
    </row>
    <row r="695" spans="1:7" ht="15">
      <c r="A695" s="137"/>
      <c r="B695" s="137"/>
      <c r="C695" s="137"/>
      <c r="D695" s="137"/>
      <c r="E695" s="137"/>
      <c r="F695" s="137"/>
      <c r="G695" s="137"/>
    </row>
    <row r="696" spans="1:7" ht="15">
      <c r="A696" s="137"/>
      <c r="B696" s="137"/>
      <c r="C696" s="137"/>
      <c r="D696" s="137"/>
      <c r="E696" s="137"/>
      <c r="F696" s="137"/>
      <c r="G696" s="137"/>
    </row>
    <row r="697" spans="1:7" ht="15">
      <c r="A697" s="137"/>
      <c r="B697" s="137"/>
      <c r="C697" s="137"/>
      <c r="D697" s="137"/>
      <c r="E697" s="137"/>
      <c r="F697" s="137"/>
      <c r="G697" s="137"/>
    </row>
    <row r="698" spans="1:7" ht="15">
      <c r="A698" s="137"/>
      <c r="B698" s="137"/>
      <c r="C698" s="137"/>
      <c r="D698" s="137"/>
      <c r="E698" s="137"/>
      <c r="F698" s="137"/>
      <c r="G698" s="137"/>
    </row>
    <row r="699" spans="1:7" ht="15">
      <c r="A699" s="137"/>
      <c r="B699" s="137"/>
      <c r="C699" s="137"/>
      <c r="D699" s="137"/>
      <c r="E699" s="137"/>
      <c r="F699" s="137"/>
      <c r="G699" s="137"/>
    </row>
    <row r="700" spans="1:7" ht="15">
      <c r="A700" s="137"/>
      <c r="B700" s="137"/>
      <c r="C700" s="137"/>
      <c r="D700" s="137"/>
      <c r="E700" s="137"/>
      <c r="F700" s="137"/>
      <c r="G700" s="137"/>
    </row>
    <row r="701" spans="1:7" ht="15">
      <c r="A701" s="137"/>
      <c r="B701" s="137"/>
      <c r="C701" s="137"/>
      <c r="D701" s="137"/>
      <c r="E701" s="137"/>
      <c r="F701" s="137"/>
      <c r="G701" s="137"/>
    </row>
    <row r="702" spans="1:7" ht="15">
      <c r="A702" s="137"/>
      <c r="B702" s="137"/>
      <c r="C702" s="137"/>
      <c r="D702" s="137"/>
      <c r="E702" s="137"/>
      <c r="F702" s="137"/>
      <c r="G702" s="137"/>
    </row>
    <row r="703" spans="1:7" ht="15">
      <c r="A703" s="137"/>
      <c r="B703" s="137"/>
      <c r="C703" s="137"/>
      <c r="D703" s="137"/>
      <c r="E703" s="137"/>
      <c r="F703" s="137"/>
      <c r="G703" s="137"/>
    </row>
    <row r="704" spans="1:7" ht="15">
      <c r="A704" s="137"/>
      <c r="B704" s="137"/>
      <c r="C704" s="137"/>
      <c r="D704" s="137"/>
      <c r="E704" s="137"/>
      <c r="F704" s="137"/>
      <c r="G704" s="137"/>
    </row>
    <row r="705" spans="1:7" ht="15">
      <c r="A705" s="137"/>
      <c r="B705" s="137"/>
      <c r="C705" s="137"/>
      <c r="D705" s="137"/>
      <c r="E705" s="137"/>
      <c r="F705" s="137"/>
      <c r="G705" s="137"/>
    </row>
    <row r="706" spans="1:7" ht="15">
      <c r="A706" s="137"/>
      <c r="B706" s="137"/>
      <c r="C706" s="137"/>
      <c r="D706" s="137"/>
      <c r="E706" s="137"/>
      <c r="F706" s="137"/>
      <c r="G706" s="137"/>
    </row>
    <row r="707" spans="1:7" ht="15">
      <c r="A707" s="137"/>
      <c r="B707" s="137"/>
      <c r="C707" s="137"/>
      <c r="D707" s="137"/>
      <c r="E707" s="137"/>
      <c r="F707" s="137"/>
      <c r="G707" s="137"/>
    </row>
    <row r="708" spans="1:7" ht="15">
      <c r="A708" s="137"/>
      <c r="B708" s="137"/>
      <c r="C708" s="137"/>
      <c r="D708" s="137"/>
      <c r="E708" s="137"/>
      <c r="F708" s="137"/>
      <c r="G708" s="137"/>
    </row>
    <row r="709" spans="1:7" ht="15">
      <c r="A709" s="137"/>
      <c r="B709" s="137"/>
      <c r="C709" s="137"/>
      <c r="D709" s="137"/>
      <c r="E709" s="137"/>
      <c r="F709" s="137"/>
      <c r="G709" s="137"/>
    </row>
    <row r="710" spans="1:7" ht="15">
      <c r="A710" s="137"/>
      <c r="B710" s="137"/>
      <c r="C710" s="137"/>
      <c r="D710" s="137"/>
      <c r="E710" s="137"/>
      <c r="F710" s="137"/>
      <c r="G710" s="137"/>
    </row>
    <row r="711" spans="1:7" ht="15">
      <c r="A711" s="137"/>
      <c r="B711" s="137"/>
      <c r="C711" s="137"/>
      <c r="D711" s="137"/>
      <c r="E711" s="137"/>
      <c r="F711" s="137"/>
      <c r="G711" s="137"/>
    </row>
    <row r="712" spans="1:7" ht="15">
      <c r="A712" s="137"/>
      <c r="B712" s="137"/>
      <c r="C712" s="137"/>
      <c r="D712" s="137"/>
      <c r="E712" s="137"/>
      <c r="F712" s="137"/>
      <c r="G712" s="137"/>
    </row>
    <row r="713" spans="1:7" ht="15">
      <c r="A713" s="137"/>
      <c r="B713" s="137"/>
      <c r="C713" s="137"/>
      <c r="D713" s="137"/>
      <c r="E713" s="137"/>
      <c r="F713" s="137"/>
      <c r="G713" s="137"/>
    </row>
    <row r="714" spans="1:7" ht="15">
      <c r="A714" s="137"/>
      <c r="B714" s="137"/>
      <c r="C714" s="137"/>
      <c r="D714" s="137"/>
      <c r="E714" s="137"/>
      <c r="F714" s="137"/>
      <c r="G714" s="137"/>
    </row>
    <row r="715" spans="1:7" ht="15">
      <c r="A715" s="137"/>
      <c r="B715" s="137"/>
      <c r="C715" s="137"/>
      <c r="D715" s="137"/>
      <c r="E715" s="137"/>
      <c r="F715" s="137"/>
      <c r="G715" s="137"/>
    </row>
    <row r="716" spans="1:7" ht="15">
      <c r="A716" s="137"/>
      <c r="B716" s="137"/>
      <c r="C716" s="137"/>
      <c r="D716" s="137"/>
      <c r="E716" s="137"/>
      <c r="F716" s="137"/>
      <c r="G716" s="137"/>
    </row>
    <row r="717" spans="1:7" ht="15">
      <c r="A717" s="137"/>
      <c r="B717" s="137"/>
      <c r="C717" s="137"/>
      <c r="D717" s="137"/>
      <c r="E717" s="137"/>
      <c r="F717" s="137"/>
      <c r="G717" s="137"/>
    </row>
    <row r="718" spans="1:7" ht="15">
      <c r="A718" s="137"/>
      <c r="B718" s="137"/>
      <c r="C718" s="137"/>
      <c r="D718" s="137"/>
      <c r="E718" s="137"/>
      <c r="F718" s="137"/>
      <c r="G718" s="137"/>
    </row>
    <row r="719" spans="1:7" ht="15">
      <c r="A719" s="137"/>
      <c r="B719" s="137"/>
      <c r="C719" s="137"/>
      <c r="D719" s="137"/>
      <c r="E719" s="137"/>
      <c r="F719" s="137"/>
      <c r="G719" s="137"/>
    </row>
    <row r="720" spans="1:7" ht="15">
      <c r="A720" s="137"/>
      <c r="B720" s="137"/>
      <c r="C720" s="137"/>
      <c r="D720" s="137"/>
      <c r="E720" s="137"/>
      <c r="F720" s="137"/>
      <c r="G720" s="137"/>
    </row>
    <row r="721" spans="1:7" ht="15">
      <c r="A721" s="137"/>
      <c r="B721" s="137"/>
      <c r="C721" s="137"/>
      <c r="D721" s="137"/>
      <c r="E721" s="137"/>
      <c r="F721" s="137"/>
      <c r="G721" s="137"/>
    </row>
    <row r="722" spans="1:7" ht="15">
      <c r="A722" s="137"/>
      <c r="B722" s="137"/>
      <c r="C722" s="137"/>
      <c r="D722" s="137"/>
      <c r="E722" s="137"/>
      <c r="F722" s="137"/>
      <c r="G722" s="137"/>
    </row>
    <row r="723" spans="1:7" ht="15">
      <c r="A723" s="137"/>
      <c r="B723" s="137"/>
      <c r="C723" s="137"/>
      <c r="D723" s="137"/>
      <c r="E723" s="137"/>
      <c r="F723" s="137"/>
      <c r="G723" s="137"/>
    </row>
    <row r="724" spans="1:7" ht="15">
      <c r="A724" s="137"/>
      <c r="B724" s="137"/>
      <c r="C724" s="137"/>
      <c r="D724" s="137"/>
      <c r="E724" s="137"/>
      <c r="F724" s="137"/>
      <c r="G724" s="137"/>
    </row>
    <row r="725" spans="1:7" ht="15">
      <c r="A725" s="137"/>
      <c r="B725" s="137"/>
      <c r="C725" s="137"/>
      <c r="D725" s="137"/>
      <c r="E725" s="137"/>
      <c r="F725" s="137"/>
      <c r="G725" s="137"/>
    </row>
    <row r="726" spans="1:7" ht="15">
      <c r="A726" s="137"/>
      <c r="B726" s="137"/>
      <c r="C726" s="137"/>
      <c r="D726" s="137"/>
      <c r="E726" s="137"/>
      <c r="F726" s="137"/>
      <c r="G726" s="137"/>
    </row>
    <row r="727" spans="1:7" ht="15">
      <c r="A727" s="137"/>
      <c r="B727" s="137"/>
      <c r="C727" s="137"/>
      <c r="D727" s="137"/>
      <c r="E727" s="137"/>
      <c r="F727" s="137"/>
      <c r="G727" s="137"/>
    </row>
    <row r="728" spans="1:7" ht="15">
      <c r="A728" s="137"/>
      <c r="B728" s="137"/>
      <c r="C728" s="137"/>
      <c r="D728" s="137"/>
      <c r="E728" s="137"/>
      <c r="F728" s="137"/>
      <c r="G728" s="137"/>
    </row>
    <row r="729" spans="1:7" ht="15">
      <c r="A729" s="137"/>
      <c r="B729" s="137"/>
      <c r="C729" s="137"/>
      <c r="D729" s="137"/>
      <c r="E729" s="137"/>
      <c r="F729" s="137"/>
      <c r="G729" s="137"/>
    </row>
    <row r="730" spans="1:7" ht="15">
      <c r="A730" s="137"/>
      <c r="B730" s="137"/>
      <c r="C730" s="137"/>
      <c r="D730" s="137"/>
      <c r="E730" s="137"/>
      <c r="F730" s="137"/>
      <c r="G730" s="137"/>
    </row>
    <row r="731" spans="1:7" ht="15">
      <c r="A731" s="137"/>
      <c r="B731" s="137"/>
      <c r="C731" s="137"/>
      <c r="D731" s="137"/>
      <c r="E731" s="137"/>
      <c r="F731" s="137"/>
      <c r="G731" s="137"/>
    </row>
    <row r="732" spans="1:7" ht="15">
      <c r="A732" s="137"/>
      <c r="B732" s="137"/>
      <c r="C732" s="137"/>
      <c r="D732" s="137"/>
      <c r="E732" s="137"/>
      <c r="F732" s="137"/>
      <c r="G732" s="137"/>
    </row>
    <row r="733" spans="1:7" ht="15">
      <c r="A733" s="137"/>
      <c r="B733" s="137"/>
      <c r="C733" s="137"/>
      <c r="D733" s="137"/>
      <c r="E733" s="137"/>
      <c r="F733" s="137"/>
      <c r="G733" s="137"/>
    </row>
  </sheetData>
  <mergeCells count="3">
    <mergeCell ref="E35:G35"/>
    <mergeCell ref="E22:G22"/>
    <mergeCell ref="E2:G2"/>
  </mergeCells>
  <printOptions/>
  <pageMargins left="0.75" right="0.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J646"/>
  <sheetViews>
    <sheetView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5.00390625" style="9" bestFit="1" customWidth="1"/>
    <col min="2" max="2" width="1.421875" style="9" customWidth="1"/>
    <col min="3" max="3" width="46.421875" style="9" customWidth="1"/>
    <col min="4" max="4" width="6.7109375" style="9" customWidth="1"/>
    <col min="5" max="5" width="13.7109375" style="9" customWidth="1"/>
    <col min="6" max="6" width="2.00390625" style="9" customWidth="1"/>
    <col min="7" max="7" width="13.7109375" style="9" customWidth="1"/>
    <col min="8" max="8" width="10.28125" style="9" hidden="1" customWidth="1"/>
    <col min="9" max="9" width="14.28125" style="9" hidden="1" customWidth="1"/>
    <col min="10" max="10" width="12.57421875" style="9" hidden="1" customWidth="1"/>
    <col min="11" max="11" width="7.57421875" style="9" hidden="1" customWidth="1"/>
    <col min="12" max="16384" width="7.57421875" style="9" customWidth="1"/>
  </cols>
  <sheetData>
    <row r="1" spans="1:7" ht="28.5">
      <c r="A1" s="156" t="s">
        <v>603</v>
      </c>
      <c r="B1" s="104" t="s">
        <v>173</v>
      </c>
      <c r="C1" s="104"/>
      <c r="D1" s="104"/>
      <c r="E1" s="23">
        <v>2006</v>
      </c>
      <c r="G1" s="17">
        <v>2005</v>
      </c>
    </row>
    <row r="2" spans="1:7" ht="15">
      <c r="A2" s="156"/>
      <c r="B2" s="104"/>
      <c r="C2" s="104"/>
      <c r="D2" s="104"/>
      <c r="E2" s="104"/>
      <c r="F2" s="118" t="s">
        <v>137</v>
      </c>
      <c r="G2" s="104"/>
    </row>
    <row r="3" spans="1:7" ht="15">
      <c r="A3" s="156"/>
      <c r="B3" s="104"/>
      <c r="C3" s="104"/>
      <c r="D3" s="104"/>
      <c r="E3" s="104"/>
      <c r="F3" s="104"/>
      <c r="G3" s="104"/>
    </row>
    <row r="4" spans="1:7" ht="15">
      <c r="A4" s="156"/>
      <c r="B4" s="104" t="s">
        <v>174</v>
      </c>
      <c r="C4" s="104"/>
      <c r="D4" s="104"/>
      <c r="E4" s="118" t="s">
        <v>333</v>
      </c>
      <c r="F4" s="116"/>
      <c r="G4" s="116" t="s">
        <v>176</v>
      </c>
    </row>
    <row r="5" spans="1:7" ht="15">
      <c r="A5" s="156"/>
      <c r="B5" s="104" t="s">
        <v>175</v>
      </c>
      <c r="C5" s="104"/>
      <c r="D5" s="104"/>
      <c r="E5" s="118">
        <v>0.5</v>
      </c>
      <c r="F5" s="116"/>
      <c r="G5" s="116">
        <v>0.5</v>
      </c>
    </row>
    <row r="6" spans="1:7" ht="15">
      <c r="A6" s="156"/>
      <c r="B6" s="104"/>
      <c r="C6" s="104"/>
      <c r="D6" s="104"/>
      <c r="E6" s="116"/>
      <c r="F6" s="116"/>
      <c r="G6" s="116"/>
    </row>
    <row r="7" spans="1:4" ht="15">
      <c r="A7" s="105" t="s">
        <v>89</v>
      </c>
      <c r="B7" s="10" t="s">
        <v>776</v>
      </c>
      <c r="C7" s="137"/>
      <c r="D7" s="137"/>
    </row>
    <row r="8" spans="3:4" ht="15">
      <c r="C8" s="137"/>
      <c r="D8" s="137"/>
    </row>
    <row r="9" spans="2:7" ht="15">
      <c r="B9" s="10" t="s">
        <v>362</v>
      </c>
      <c r="C9" s="137"/>
      <c r="D9" s="137"/>
      <c r="E9" s="23">
        <v>2006</v>
      </c>
      <c r="G9" s="17">
        <v>2005</v>
      </c>
    </row>
    <row r="10" spans="2:7" ht="15">
      <c r="B10" s="10"/>
      <c r="C10" s="137"/>
      <c r="D10" s="137"/>
      <c r="E10" s="562" t="s">
        <v>320</v>
      </c>
      <c r="F10" s="562"/>
      <c r="G10" s="562"/>
    </row>
    <row r="11" spans="2:7" ht="15">
      <c r="B11" s="10"/>
      <c r="C11" s="137"/>
      <c r="D11" s="137"/>
      <c r="E11" s="23"/>
      <c r="F11" s="23"/>
      <c r="G11" s="23"/>
    </row>
    <row r="12" spans="2:7" ht="15">
      <c r="B12" s="114" t="s">
        <v>23</v>
      </c>
      <c r="C12" s="137"/>
      <c r="D12" s="137"/>
      <c r="E12" s="22"/>
      <c r="F12" s="33"/>
      <c r="G12" s="33"/>
    </row>
    <row r="13" spans="2:7" ht="15">
      <c r="B13" s="114" t="s">
        <v>24</v>
      </c>
      <c r="C13" s="137"/>
      <c r="D13" s="51" t="s">
        <v>594</v>
      </c>
      <c r="E13" s="209">
        <v>1806030</v>
      </c>
      <c r="F13" s="429"/>
      <c r="G13" s="98">
        <v>2685825</v>
      </c>
    </row>
    <row r="14" spans="2:7" ht="15" customHeight="1">
      <c r="B14" s="563" t="s">
        <v>854</v>
      </c>
      <c r="C14" s="563"/>
      <c r="D14" s="138"/>
      <c r="E14" s="209">
        <v>666899</v>
      </c>
      <c r="F14" s="429"/>
      <c r="G14" s="98">
        <v>463941</v>
      </c>
    </row>
    <row r="15" spans="2:7" ht="15">
      <c r="B15" s="137" t="s">
        <v>855</v>
      </c>
      <c r="C15" s="137"/>
      <c r="E15" s="209">
        <v>91194.88515</v>
      </c>
      <c r="F15" s="429"/>
      <c r="G15" s="98">
        <v>62372</v>
      </c>
    </row>
    <row r="16" spans="2:7" ht="15">
      <c r="B16" s="9" t="s">
        <v>928</v>
      </c>
      <c r="C16" s="137"/>
      <c r="E16" s="232">
        <v>53780</v>
      </c>
      <c r="F16" s="429"/>
      <c r="G16" s="433">
        <v>14557</v>
      </c>
    </row>
    <row r="17" spans="3:7" ht="15">
      <c r="C17" s="137"/>
      <c r="D17" s="137"/>
      <c r="E17" s="209">
        <f>SUM(E13:E16)</f>
        <v>2617903.88515</v>
      </c>
      <c r="F17" s="95"/>
      <c r="G17" s="429">
        <f>SUM(G13:G16)</f>
        <v>3226695</v>
      </c>
    </row>
    <row r="18" spans="2:7" ht="15">
      <c r="B18" s="10" t="s">
        <v>373</v>
      </c>
      <c r="C18" s="137"/>
      <c r="D18" s="137"/>
      <c r="E18" s="513"/>
      <c r="F18" s="95"/>
      <c r="G18" s="95"/>
    </row>
    <row r="19" spans="3:7" ht="15">
      <c r="C19" s="137"/>
      <c r="D19" s="137"/>
      <c r="E19" s="513"/>
      <c r="F19" s="95"/>
      <c r="G19" s="95"/>
    </row>
    <row r="20" spans="2:9" ht="15">
      <c r="B20" s="137" t="s">
        <v>505</v>
      </c>
      <c r="C20" s="137"/>
      <c r="D20" s="137"/>
      <c r="E20" s="210">
        <v>3815707.29686</v>
      </c>
      <c r="F20" s="429"/>
      <c r="G20" s="99">
        <v>3512589</v>
      </c>
      <c r="I20" s="9">
        <v>2363914</v>
      </c>
    </row>
    <row r="21" spans="2:7" ht="15" customHeight="1">
      <c r="B21" s="563" t="s">
        <v>73</v>
      </c>
      <c r="C21" s="563"/>
      <c r="D21" s="137"/>
      <c r="E21" s="211">
        <v>10769.035</v>
      </c>
      <c r="F21" s="429"/>
      <c r="G21" s="301">
        <v>12328</v>
      </c>
    </row>
    <row r="22" spans="2:7" ht="15" customHeight="1">
      <c r="B22" s="564" t="s">
        <v>74</v>
      </c>
      <c r="C22" s="564"/>
      <c r="D22" s="137"/>
      <c r="E22" s="211">
        <v>641709</v>
      </c>
      <c r="F22" s="429"/>
      <c r="G22" s="301">
        <v>556497</v>
      </c>
    </row>
    <row r="23" spans="2:7" ht="15" customHeight="1">
      <c r="B23" s="104" t="s">
        <v>36</v>
      </c>
      <c r="C23" s="321"/>
      <c r="D23" s="137"/>
      <c r="E23" s="211"/>
      <c r="F23" s="429"/>
      <c r="G23" s="301"/>
    </row>
    <row r="24" spans="2:7" ht="15">
      <c r="B24" s="104" t="s">
        <v>37</v>
      </c>
      <c r="C24" s="104"/>
      <c r="D24" s="143"/>
      <c r="E24" s="211">
        <v>1292.2572600000005</v>
      </c>
      <c r="F24" s="104"/>
      <c r="G24" s="301">
        <v>5217</v>
      </c>
    </row>
    <row r="25" spans="2:7" ht="15">
      <c r="B25" s="104" t="s">
        <v>107</v>
      </c>
      <c r="C25" s="104"/>
      <c r="D25" s="143"/>
      <c r="E25" s="211"/>
      <c r="F25" s="104"/>
      <c r="G25" s="301">
        <v>3935947</v>
      </c>
    </row>
    <row r="26" spans="2:7" ht="15" customHeight="1">
      <c r="B26" s="564" t="s">
        <v>108</v>
      </c>
      <c r="C26" s="564"/>
      <c r="D26" s="137"/>
      <c r="E26" s="211">
        <v>10000</v>
      </c>
      <c r="F26" s="429"/>
      <c r="G26" s="301">
        <v>10000</v>
      </c>
    </row>
    <row r="27" spans="2:7" ht="15" customHeight="1">
      <c r="B27" s="104" t="s">
        <v>560</v>
      </c>
      <c r="C27" s="104"/>
      <c r="D27" s="307"/>
      <c r="E27" s="211">
        <v>2929066.28112</v>
      </c>
      <c r="F27" s="429"/>
      <c r="G27" s="301">
        <v>2929066</v>
      </c>
    </row>
    <row r="28" spans="2:7" ht="15" customHeight="1">
      <c r="B28" s="563" t="s">
        <v>941</v>
      </c>
      <c r="C28" s="563"/>
      <c r="D28" s="51" t="s">
        <v>604</v>
      </c>
      <c r="E28" s="211">
        <f>E43</f>
        <v>6791598</v>
      </c>
      <c r="F28" s="429"/>
      <c r="G28" s="301">
        <v>6141836</v>
      </c>
    </row>
    <row r="29" spans="2:7" ht="15" customHeight="1">
      <c r="B29" s="104" t="s">
        <v>107</v>
      </c>
      <c r="C29" s="552"/>
      <c r="D29" s="51"/>
      <c r="E29" s="211">
        <v>39091788</v>
      </c>
      <c r="F29" s="429"/>
      <c r="G29" s="301">
        <v>0</v>
      </c>
    </row>
    <row r="30" spans="2:10" ht="15" customHeight="1">
      <c r="B30" s="9" t="s">
        <v>928</v>
      </c>
      <c r="D30" s="95"/>
      <c r="E30" s="212">
        <v>5088127.40942</v>
      </c>
      <c r="F30" s="429"/>
      <c r="G30" s="281">
        <v>3680150</v>
      </c>
      <c r="H30" s="405">
        <f>G33-20313153</f>
        <v>3697172</v>
      </c>
      <c r="I30" s="37">
        <v>3120628</v>
      </c>
      <c r="J30" s="37">
        <f>E30-I30</f>
        <v>1967499.4094200004</v>
      </c>
    </row>
    <row r="31" spans="5:7" ht="15" customHeight="1" hidden="1">
      <c r="E31" s="439"/>
      <c r="F31" s="137"/>
      <c r="G31" s="322"/>
    </row>
    <row r="32" spans="3:7" ht="15" customHeight="1">
      <c r="C32" s="322"/>
      <c r="D32" s="151"/>
      <c r="E32" s="209">
        <f>SUM(E20:E31)-1</f>
        <v>58380056.27966</v>
      </c>
      <c r="F32" s="429"/>
      <c r="G32" s="438">
        <f>SUM(G20:G31)</f>
        <v>20783630</v>
      </c>
    </row>
    <row r="33" spans="1:7" ht="15.75" thickBot="1">
      <c r="A33" s="137"/>
      <c r="B33" s="137"/>
      <c r="C33" s="137"/>
      <c r="D33" s="137"/>
      <c r="E33" s="213">
        <f>+E32+E17</f>
        <v>60997960.16481</v>
      </c>
      <c r="F33" s="137"/>
      <c r="G33" s="514">
        <f>+G32+G17</f>
        <v>24010325</v>
      </c>
    </row>
    <row r="34" spans="1:7" ht="15.75" thickTop="1">
      <c r="A34" s="323" t="s">
        <v>604</v>
      </c>
      <c r="B34" s="142" t="s">
        <v>941</v>
      </c>
      <c r="C34" s="137"/>
      <c r="D34" s="137"/>
      <c r="E34" s="322"/>
      <c r="F34" s="137"/>
      <c r="G34" s="137"/>
    </row>
    <row r="35" spans="2:7" ht="15">
      <c r="B35" s="31"/>
      <c r="C35" s="137"/>
      <c r="D35" s="137"/>
      <c r="E35" s="137"/>
      <c r="F35" s="137"/>
      <c r="G35" s="137"/>
    </row>
    <row r="36" spans="1:10" ht="15">
      <c r="A36" s="9" t="s">
        <v>384</v>
      </c>
      <c r="B36" s="137" t="s">
        <v>498</v>
      </c>
      <c r="C36" s="137"/>
      <c r="D36" s="137"/>
      <c r="E36" s="206">
        <v>43815</v>
      </c>
      <c r="F36" s="95"/>
      <c r="G36" s="214">
        <v>18201</v>
      </c>
      <c r="J36" s="475"/>
    </row>
    <row r="37" spans="2:10" ht="15">
      <c r="B37" s="104" t="s">
        <v>75</v>
      </c>
      <c r="C37" s="137"/>
      <c r="D37" s="137"/>
      <c r="E37" s="206">
        <f>103427+32658</f>
        <v>136085</v>
      </c>
      <c r="F37" s="95"/>
      <c r="G37" s="214">
        <v>173138</v>
      </c>
      <c r="J37" s="475"/>
    </row>
    <row r="38" spans="2:10" ht="15">
      <c r="B38" s="104" t="s">
        <v>76</v>
      </c>
      <c r="C38" s="137"/>
      <c r="D38" s="137"/>
      <c r="E38" s="206">
        <v>738429</v>
      </c>
      <c r="F38" s="95"/>
      <c r="G38" s="214">
        <v>418469</v>
      </c>
      <c r="J38" s="475"/>
    </row>
    <row r="39" spans="2:10" ht="15">
      <c r="B39" s="137" t="s">
        <v>84</v>
      </c>
      <c r="C39" s="137"/>
      <c r="D39" s="20">
        <v>42.4</v>
      </c>
      <c r="E39" s="206">
        <v>2155483</v>
      </c>
      <c r="F39" s="95"/>
      <c r="G39" s="214">
        <v>2031000</v>
      </c>
      <c r="J39" s="475"/>
    </row>
    <row r="40" spans="2:10" ht="15">
      <c r="B40" s="137" t="s">
        <v>557</v>
      </c>
      <c r="C40" s="137"/>
      <c r="D40" s="20"/>
      <c r="E40" s="206">
        <v>2061545</v>
      </c>
      <c r="F40" s="95"/>
      <c r="G40" s="214">
        <v>1551419</v>
      </c>
      <c r="J40" s="475"/>
    </row>
    <row r="41" spans="2:10" ht="15">
      <c r="B41" s="137" t="s">
        <v>154</v>
      </c>
      <c r="C41" s="137"/>
      <c r="D41" s="20">
        <v>27.2</v>
      </c>
      <c r="E41" s="206">
        <v>1156785</v>
      </c>
      <c r="F41" s="95"/>
      <c r="G41" s="214">
        <v>1205895</v>
      </c>
      <c r="J41" s="475"/>
    </row>
    <row r="42" spans="2:10" ht="15">
      <c r="B42" s="137" t="s">
        <v>928</v>
      </c>
      <c r="C42" s="137"/>
      <c r="D42" s="137"/>
      <c r="E42" s="206">
        <v>499456</v>
      </c>
      <c r="F42" s="95"/>
      <c r="G42" s="214">
        <v>743714</v>
      </c>
      <c r="J42" s="475"/>
    </row>
    <row r="43" spans="1:8" ht="15.75" thickBot="1">
      <c r="A43" s="137"/>
      <c r="B43" s="137"/>
      <c r="C43" s="137"/>
      <c r="D43" s="137"/>
      <c r="E43" s="213">
        <f>SUM(E36:E42)</f>
        <v>6791598</v>
      </c>
      <c r="F43" s="95"/>
      <c r="G43" s="236">
        <f>SUM(G36:G42)</f>
        <v>6141836</v>
      </c>
      <c r="H43" s="37">
        <f>E43-E28</f>
        <v>0</v>
      </c>
    </row>
    <row r="44" spans="1:7" ht="15.75" thickTop="1">
      <c r="A44" s="137"/>
      <c r="B44" s="137"/>
      <c r="C44" s="137"/>
      <c r="D44" s="137"/>
      <c r="E44" s="137"/>
      <c r="F44" s="137"/>
      <c r="G44" s="137"/>
    </row>
    <row r="45" spans="1:7" ht="13.5" customHeight="1">
      <c r="A45" s="137"/>
      <c r="B45" s="137"/>
      <c r="C45" s="137"/>
      <c r="D45" s="137"/>
      <c r="E45" s="157"/>
      <c r="F45" s="137"/>
      <c r="G45" s="137"/>
    </row>
    <row r="46" spans="1:7" ht="15">
      <c r="A46" s="137"/>
      <c r="B46" s="137"/>
      <c r="C46" s="137"/>
      <c r="D46" s="137"/>
      <c r="E46" s="137"/>
      <c r="F46" s="137"/>
      <c r="G46" s="137"/>
    </row>
    <row r="47" spans="1:7" ht="15">
      <c r="A47" s="137"/>
      <c r="B47" s="137"/>
      <c r="C47" s="137"/>
      <c r="D47" s="137"/>
      <c r="E47" s="137"/>
      <c r="F47" s="137"/>
      <c r="G47" s="137"/>
    </row>
    <row r="48" spans="1:7" ht="15">
      <c r="A48" s="137"/>
      <c r="B48" s="137"/>
      <c r="C48" s="137"/>
      <c r="D48" s="137"/>
      <c r="E48" s="137"/>
      <c r="F48" s="137"/>
      <c r="G48" s="137"/>
    </row>
    <row r="49" spans="1:7" ht="15">
      <c r="A49" s="137"/>
      <c r="B49" s="137"/>
      <c r="C49" s="137"/>
      <c r="D49" s="137"/>
      <c r="E49" s="137"/>
      <c r="F49" s="137"/>
      <c r="G49" s="137"/>
    </row>
    <row r="50" spans="1:7" ht="15">
      <c r="A50" s="137"/>
      <c r="B50" s="137"/>
      <c r="C50" s="137"/>
      <c r="D50" s="137"/>
      <c r="E50" s="137"/>
      <c r="F50" s="137"/>
      <c r="G50" s="137"/>
    </row>
    <row r="51" spans="1:7" ht="15">
      <c r="A51" s="137"/>
      <c r="B51" s="137"/>
      <c r="C51" s="137"/>
      <c r="D51" s="137"/>
      <c r="E51" s="137"/>
      <c r="F51" s="137"/>
      <c r="G51" s="137"/>
    </row>
    <row r="52" spans="1:7" ht="15">
      <c r="A52" s="137"/>
      <c r="B52" s="137"/>
      <c r="C52" s="137"/>
      <c r="D52" s="137"/>
      <c r="E52" s="137"/>
      <c r="F52" s="137"/>
      <c r="G52" s="137"/>
    </row>
    <row r="53" spans="1:7" ht="15">
      <c r="A53" s="137"/>
      <c r="B53" s="137"/>
      <c r="C53" s="137"/>
      <c r="D53" s="137"/>
      <c r="E53" s="137"/>
      <c r="F53" s="137"/>
      <c r="G53" s="137"/>
    </row>
    <row r="54" spans="1:7" ht="15">
      <c r="A54" s="137"/>
      <c r="B54" s="137"/>
      <c r="C54" s="137"/>
      <c r="D54" s="137"/>
      <c r="E54" s="137"/>
      <c r="F54" s="137"/>
      <c r="G54" s="137"/>
    </row>
    <row r="55" spans="1:7" ht="15">
      <c r="A55" s="137"/>
      <c r="B55" s="137"/>
      <c r="C55" s="137"/>
      <c r="D55" s="137"/>
      <c r="E55" s="137"/>
      <c r="F55" s="137"/>
      <c r="G55" s="137"/>
    </row>
    <row r="56" spans="1:7" ht="15">
      <c r="A56" s="137"/>
      <c r="B56" s="137"/>
      <c r="C56" s="137"/>
      <c r="D56" s="137"/>
      <c r="E56" s="137"/>
      <c r="F56" s="137"/>
      <c r="G56" s="137"/>
    </row>
    <row r="57" spans="1:7" ht="15">
      <c r="A57" s="137"/>
      <c r="B57" s="137"/>
      <c r="C57" s="137"/>
      <c r="D57" s="137"/>
      <c r="E57" s="137"/>
      <c r="F57" s="137"/>
      <c r="G57" s="137"/>
    </row>
    <row r="58" spans="1:7" ht="15">
      <c r="A58" s="137"/>
      <c r="B58" s="137"/>
      <c r="C58" s="137"/>
      <c r="D58" s="137"/>
      <c r="E58" s="137"/>
      <c r="F58" s="137"/>
      <c r="G58" s="137"/>
    </row>
    <row r="59" spans="1:7" ht="15">
      <c r="A59" s="137"/>
      <c r="B59" s="137"/>
      <c r="C59" s="137"/>
      <c r="D59" s="137"/>
      <c r="E59" s="137"/>
      <c r="F59" s="137"/>
      <c r="G59" s="137"/>
    </row>
    <row r="60" spans="1:7" ht="15">
      <c r="A60" s="137"/>
      <c r="B60" s="137"/>
      <c r="C60" s="137"/>
      <c r="D60" s="137"/>
      <c r="E60" s="137"/>
      <c r="F60" s="137"/>
      <c r="G60" s="137"/>
    </row>
    <row r="61" spans="1:7" ht="15">
      <c r="A61" s="137"/>
      <c r="B61" s="137"/>
      <c r="C61" s="137"/>
      <c r="D61" s="137"/>
      <c r="E61" s="137"/>
      <c r="F61" s="137"/>
      <c r="G61" s="137"/>
    </row>
    <row r="62" spans="1:7" ht="15">
      <c r="A62" s="137"/>
      <c r="B62" s="137"/>
      <c r="C62" s="137"/>
      <c r="D62" s="137"/>
      <c r="E62" s="137"/>
      <c r="F62" s="137"/>
      <c r="G62" s="137"/>
    </row>
    <row r="63" spans="1:7" ht="15">
      <c r="A63" s="137"/>
      <c r="B63" s="137"/>
      <c r="C63" s="137"/>
      <c r="D63" s="137"/>
      <c r="E63" s="137"/>
      <c r="F63" s="137"/>
      <c r="G63" s="137"/>
    </row>
    <row r="64" spans="1:7" ht="15">
      <c r="A64" s="137"/>
      <c r="B64" s="137"/>
      <c r="C64" s="137"/>
      <c r="D64" s="137"/>
      <c r="E64" s="137"/>
      <c r="F64" s="137"/>
      <c r="G64" s="137"/>
    </row>
    <row r="65" spans="1:7" ht="15">
      <c r="A65" s="137"/>
      <c r="B65" s="137"/>
      <c r="C65" s="137"/>
      <c r="D65" s="137"/>
      <c r="E65" s="137"/>
      <c r="F65" s="137"/>
      <c r="G65" s="137"/>
    </row>
    <row r="66" spans="1:7" ht="15">
      <c r="A66" s="137"/>
      <c r="B66" s="137"/>
      <c r="C66" s="137"/>
      <c r="D66" s="137"/>
      <c r="E66" s="137"/>
      <c r="F66" s="137"/>
      <c r="G66" s="137"/>
    </row>
    <row r="67" spans="1:7" ht="15">
      <c r="A67" s="137"/>
      <c r="B67" s="137"/>
      <c r="C67" s="137"/>
      <c r="D67" s="137"/>
      <c r="E67" s="137"/>
      <c r="F67" s="137"/>
      <c r="G67" s="137"/>
    </row>
    <row r="68" spans="1:7" ht="15">
      <c r="A68" s="137"/>
      <c r="B68" s="137"/>
      <c r="C68" s="137"/>
      <c r="D68" s="137"/>
      <c r="E68" s="137"/>
      <c r="F68" s="137"/>
      <c r="G68" s="137"/>
    </row>
    <row r="69" spans="1:7" ht="15">
      <c r="A69" s="137"/>
      <c r="B69" s="137"/>
      <c r="C69" s="137"/>
      <c r="D69" s="137"/>
      <c r="E69" s="137"/>
      <c r="F69" s="137"/>
      <c r="G69" s="137"/>
    </row>
    <row r="70" spans="1:7" ht="15">
      <c r="A70" s="137"/>
      <c r="B70" s="137"/>
      <c r="C70" s="137"/>
      <c r="D70" s="137"/>
      <c r="E70" s="137"/>
      <c r="F70" s="137"/>
      <c r="G70" s="137"/>
    </row>
    <row r="71" spans="1:7" ht="15">
      <c r="A71" s="137"/>
      <c r="B71" s="137"/>
      <c r="C71" s="137"/>
      <c r="D71" s="137"/>
      <c r="E71" s="137"/>
      <c r="F71" s="137"/>
      <c r="G71" s="137"/>
    </row>
    <row r="72" spans="1:7" ht="15">
      <c r="A72" s="137"/>
      <c r="B72" s="137"/>
      <c r="C72" s="137"/>
      <c r="D72" s="137"/>
      <c r="E72" s="137"/>
      <c r="F72" s="137"/>
      <c r="G72" s="137"/>
    </row>
    <row r="73" spans="1:7" ht="15">
      <c r="A73" s="137"/>
      <c r="B73" s="137"/>
      <c r="C73" s="137"/>
      <c r="D73" s="137"/>
      <c r="E73" s="137"/>
      <c r="F73" s="137"/>
      <c r="G73" s="137"/>
    </row>
    <row r="74" spans="1:7" ht="15">
      <c r="A74" s="137"/>
      <c r="B74" s="137"/>
      <c r="C74" s="137"/>
      <c r="D74" s="137"/>
      <c r="E74" s="137"/>
      <c r="F74" s="137"/>
      <c r="G74" s="137"/>
    </row>
    <row r="75" spans="1:7" ht="15">
      <c r="A75" s="137"/>
      <c r="B75" s="137"/>
      <c r="C75" s="137"/>
      <c r="D75" s="137"/>
      <c r="E75" s="137"/>
      <c r="F75" s="137"/>
      <c r="G75" s="137"/>
    </row>
    <row r="76" spans="1:7" ht="15">
      <c r="A76" s="137"/>
      <c r="B76" s="137"/>
      <c r="C76" s="137"/>
      <c r="D76" s="137"/>
      <c r="E76" s="137"/>
      <c r="F76" s="137"/>
      <c r="G76" s="137"/>
    </row>
    <row r="77" spans="1:7" ht="15">
      <c r="A77" s="137"/>
      <c r="B77" s="137"/>
      <c r="C77" s="137"/>
      <c r="D77" s="137"/>
      <c r="E77" s="137"/>
      <c r="F77" s="137"/>
      <c r="G77" s="137"/>
    </row>
    <row r="78" spans="1:7" ht="15">
      <c r="A78" s="137"/>
      <c r="B78" s="137"/>
      <c r="C78" s="137"/>
      <c r="D78" s="137"/>
      <c r="E78" s="137"/>
      <c r="F78" s="137"/>
      <c r="G78" s="137"/>
    </row>
    <row r="79" spans="1:7" ht="15">
      <c r="A79" s="137"/>
      <c r="B79" s="137"/>
      <c r="C79" s="137"/>
      <c r="D79" s="137"/>
      <c r="E79" s="137"/>
      <c r="F79" s="137"/>
      <c r="G79" s="137"/>
    </row>
    <row r="80" spans="1:7" ht="15">
      <c r="A80" s="137"/>
      <c r="B80" s="137"/>
      <c r="C80" s="137"/>
      <c r="D80" s="137"/>
      <c r="E80" s="137"/>
      <c r="F80" s="137"/>
      <c r="G80" s="137"/>
    </row>
    <row r="81" spans="1:7" ht="15">
      <c r="A81" s="137"/>
      <c r="B81" s="137"/>
      <c r="C81" s="137"/>
      <c r="D81" s="137"/>
      <c r="E81" s="137"/>
      <c r="F81" s="137"/>
      <c r="G81" s="137"/>
    </row>
    <row r="82" spans="1:7" ht="15">
      <c r="A82" s="137"/>
      <c r="B82" s="137"/>
      <c r="C82" s="137"/>
      <c r="D82" s="137"/>
      <c r="E82" s="137"/>
      <c r="F82" s="137"/>
      <c r="G82" s="137"/>
    </row>
    <row r="83" spans="1:7" ht="15">
      <c r="A83" s="137"/>
      <c r="B83" s="137"/>
      <c r="C83" s="137"/>
      <c r="D83" s="137"/>
      <c r="E83" s="137"/>
      <c r="F83" s="137"/>
      <c r="G83" s="137"/>
    </row>
    <row r="84" spans="1:7" ht="15">
      <c r="A84" s="137"/>
      <c r="B84" s="137"/>
      <c r="C84" s="137"/>
      <c r="D84" s="137"/>
      <c r="E84" s="137"/>
      <c r="F84" s="137"/>
      <c r="G84" s="137"/>
    </row>
    <row r="85" spans="1:7" ht="15">
      <c r="A85" s="137"/>
      <c r="B85" s="137"/>
      <c r="C85" s="137"/>
      <c r="D85" s="137"/>
      <c r="E85" s="137"/>
      <c r="F85" s="137"/>
      <c r="G85" s="137"/>
    </row>
    <row r="86" spans="1:7" ht="15">
      <c r="A86" s="137"/>
      <c r="B86" s="137"/>
      <c r="C86" s="137"/>
      <c r="D86" s="137"/>
      <c r="E86" s="137"/>
      <c r="F86" s="137"/>
      <c r="G86" s="137"/>
    </row>
    <row r="87" spans="1:7" ht="15">
      <c r="A87" s="137"/>
      <c r="B87" s="137"/>
      <c r="C87" s="137"/>
      <c r="D87" s="137"/>
      <c r="E87" s="137"/>
      <c r="F87" s="137"/>
      <c r="G87" s="137"/>
    </row>
    <row r="88" spans="1:7" ht="15">
      <c r="A88" s="137"/>
      <c r="B88" s="137"/>
      <c r="C88" s="137"/>
      <c r="D88" s="137"/>
      <c r="E88" s="137"/>
      <c r="F88" s="137"/>
      <c r="G88" s="137"/>
    </row>
    <row r="89" spans="1:7" ht="15">
      <c r="A89" s="137"/>
      <c r="B89" s="137"/>
      <c r="C89" s="137"/>
      <c r="D89" s="137"/>
      <c r="E89" s="137"/>
      <c r="F89" s="137"/>
      <c r="G89" s="137"/>
    </row>
    <row r="90" spans="1:7" ht="15">
      <c r="A90" s="137"/>
      <c r="B90" s="137"/>
      <c r="C90" s="137"/>
      <c r="D90" s="137"/>
      <c r="E90" s="137"/>
      <c r="F90" s="137"/>
      <c r="G90" s="137"/>
    </row>
    <row r="91" spans="1:7" ht="15">
      <c r="A91" s="137"/>
      <c r="B91" s="137"/>
      <c r="C91" s="137"/>
      <c r="D91" s="137"/>
      <c r="E91" s="137"/>
      <c r="F91" s="137"/>
      <c r="G91" s="137"/>
    </row>
    <row r="92" spans="1:7" ht="15">
      <c r="A92" s="137"/>
      <c r="B92" s="137"/>
      <c r="C92" s="137"/>
      <c r="D92" s="137"/>
      <c r="E92" s="137"/>
      <c r="F92" s="137"/>
      <c r="G92" s="137"/>
    </row>
    <row r="93" spans="1:7" ht="15">
      <c r="A93" s="137"/>
      <c r="B93" s="137"/>
      <c r="C93" s="137"/>
      <c r="D93" s="137"/>
      <c r="E93" s="137"/>
      <c r="F93" s="137"/>
      <c r="G93" s="137"/>
    </row>
    <row r="94" spans="1:7" ht="15">
      <c r="A94" s="137"/>
      <c r="B94" s="137"/>
      <c r="C94" s="137"/>
      <c r="D94" s="137"/>
      <c r="E94" s="137"/>
      <c r="F94" s="137"/>
      <c r="G94" s="137"/>
    </row>
    <row r="95" spans="1:7" ht="15">
      <c r="A95" s="137"/>
      <c r="B95" s="137"/>
      <c r="C95" s="137"/>
      <c r="D95" s="137"/>
      <c r="E95" s="137"/>
      <c r="F95" s="137"/>
      <c r="G95" s="137"/>
    </row>
    <row r="96" spans="1:7" ht="15">
      <c r="A96" s="137"/>
      <c r="B96" s="137"/>
      <c r="C96" s="137"/>
      <c r="D96" s="137"/>
      <c r="E96" s="137"/>
      <c r="F96" s="137"/>
      <c r="G96" s="137"/>
    </row>
    <row r="97" spans="1:7" ht="15">
      <c r="A97" s="137"/>
      <c r="B97" s="137"/>
      <c r="C97" s="137"/>
      <c r="D97" s="137"/>
      <c r="E97" s="137"/>
      <c r="F97" s="137"/>
      <c r="G97" s="137"/>
    </row>
    <row r="98" spans="1:7" ht="15">
      <c r="A98" s="137"/>
      <c r="B98" s="137"/>
      <c r="C98" s="137"/>
      <c r="D98" s="137"/>
      <c r="E98" s="137"/>
      <c r="F98" s="137"/>
      <c r="G98" s="137"/>
    </row>
    <row r="99" spans="1:7" ht="15">
      <c r="A99" s="137"/>
      <c r="B99" s="137"/>
      <c r="C99" s="137"/>
      <c r="D99" s="137"/>
      <c r="E99" s="137"/>
      <c r="F99" s="137"/>
      <c r="G99" s="137"/>
    </row>
    <row r="100" spans="1:7" ht="15">
      <c r="A100" s="137"/>
      <c r="B100" s="137"/>
      <c r="C100" s="137"/>
      <c r="D100" s="137"/>
      <c r="E100" s="137"/>
      <c r="F100" s="137"/>
      <c r="G100" s="137"/>
    </row>
    <row r="101" spans="1:7" ht="15">
      <c r="A101" s="137"/>
      <c r="B101" s="137"/>
      <c r="C101" s="137"/>
      <c r="D101" s="137"/>
      <c r="E101" s="137"/>
      <c r="F101" s="137"/>
      <c r="G101" s="137"/>
    </row>
    <row r="102" spans="1:7" ht="15">
      <c r="A102" s="137"/>
      <c r="B102" s="137"/>
      <c r="C102" s="137"/>
      <c r="D102" s="137"/>
      <c r="E102" s="137"/>
      <c r="F102" s="137"/>
      <c r="G102" s="137"/>
    </row>
    <row r="103" spans="1:7" ht="15">
      <c r="A103" s="137"/>
      <c r="B103" s="137"/>
      <c r="C103" s="137"/>
      <c r="D103" s="137"/>
      <c r="E103" s="137"/>
      <c r="F103" s="137"/>
      <c r="G103" s="137"/>
    </row>
    <row r="104" spans="1:7" ht="15">
      <c r="A104" s="137"/>
      <c r="B104" s="137"/>
      <c r="C104" s="137"/>
      <c r="D104" s="137"/>
      <c r="E104" s="137"/>
      <c r="F104" s="137"/>
      <c r="G104" s="137"/>
    </row>
    <row r="105" spans="1:7" ht="15">
      <c r="A105" s="137"/>
      <c r="B105" s="137"/>
      <c r="C105" s="137"/>
      <c r="D105" s="137"/>
      <c r="E105" s="137"/>
      <c r="F105" s="137"/>
      <c r="G105" s="137"/>
    </row>
    <row r="106" spans="1:7" ht="15">
      <c r="A106" s="137"/>
      <c r="B106" s="137"/>
      <c r="C106" s="137"/>
      <c r="D106" s="137"/>
      <c r="E106" s="137"/>
      <c r="F106" s="137"/>
      <c r="G106" s="137"/>
    </row>
    <row r="107" spans="1:7" ht="15">
      <c r="A107" s="137"/>
      <c r="B107" s="137"/>
      <c r="C107" s="137"/>
      <c r="D107" s="137"/>
      <c r="E107" s="137"/>
      <c r="F107" s="137"/>
      <c r="G107" s="137"/>
    </row>
    <row r="108" spans="1:7" ht="15">
      <c r="A108" s="137"/>
      <c r="B108" s="137"/>
      <c r="C108" s="137"/>
      <c r="D108" s="137"/>
      <c r="E108" s="137"/>
      <c r="F108" s="137"/>
      <c r="G108" s="137"/>
    </row>
    <row r="109" spans="1:7" ht="15">
      <c r="A109" s="137"/>
      <c r="B109" s="137"/>
      <c r="C109" s="137"/>
      <c r="D109" s="137"/>
      <c r="E109" s="137"/>
      <c r="F109" s="137"/>
      <c r="G109" s="137"/>
    </row>
    <row r="110" spans="1:7" ht="15">
      <c r="A110" s="137"/>
      <c r="B110" s="137"/>
      <c r="C110" s="137"/>
      <c r="D110" s="137"/>
      <c r="E110" s="137"/>
      <c r="F110" s="137"/>
      <c r="G110" s="137"/>
    </row>
    <row r="111" spans="1:7" ht="15">
      <c r="A111" s="137"/>
      <c r="B111" s="137"/>
      <c r="C111" s="137"/>
      <c r="D111" s="137"/>
      <c r="E111" s="137"/>
      <c r="F111" s="137"/>
      <c r="G111" s="137"/>
    </row>
    <row r="112" spans="1:7" ht="15">
      <c r="A112" s="137"/>
      <c r="B112" s="137"/>
      <c r="C112" s="137"/>
      <c r="D112" s="137"/>
      <c r="E112" s="137"/>
      <c r="F112" s="137"/>
      <c r="G112" s="137"/>
    </row>
    <row r="113" spans="1:7" ht="15">
      <c r="A113" s="137"/>
      <c r="B113" s="137"/>
      <c r="C113" s="137"/>
      <c r="D113" s="137"/>
      <c r="E113" s="137"/>
      <c r="F113" s="137"/>
      <c r="G113" s="137"/>
    </row>
    <row r="114" spans="1:7" ht="15">
      <c r="A114" s="137"/>
      <c r="B114" s="137"/>
      <c r="C114" s="137"/>
      <c r="D114" s="137"/>
      <c r="E114" s="137"/>
      <c r="F114" s="137"/>
      <c r="G114" s="137"/>
    </row>
    <row r="115" spans="1:7" ht="15">
      <c r="A115" s="137"/>
      <c r="B115" s="137"/>
      <c r="C115" s="137"/>
      <c r="D115" s="137"/>
      <c r="E115" s="137"/>
      <c r="F115" s="137"/>
      <c r="G115" s="137"/>
    </row>
    <row r="116" spans="1:7" ht="15">
      <c r="A116" s="137"/>
      <c r="B116" s="137"/>
      <c r="C116" s="137"/>
      <c r="D116" s="137"/>
      <c r="E116" s="137"/>
      <c r="F116" s="137"/>
      <c r="G116" s="137"/>
    </row>
    <row r="117" spans="1:7" ht="15">
      <c r="A117" s="137"/>
      <c r="B117" s="137"/>
      <c r="C117" s="137"/>
      <c r="D117" s="137"/>
      <c r="E117" s="137"/>
      <c r="F117" s="137"/>
      <c r="G117" s="137"/>
    </row>
    <row r="118" spans="1:7" ht="15">
      <c r="A118" s="137"/>
      <c r="B118" s="137"/>
      <c r="C118" s="137"/>
      <c r="D118" s="137"/>
      <c r="E118" s="137"/>
      <c r="F118" s="137"/>
      <c r="G118" s="137"/>
    </row>
    <row r="119" spans="1:7" ht="15">
      <c r="A119" s="137"/>
      <c r="B119" s="137"/>
      <c r="C119" s="137"/>
      <c r="D119" s="137"/>
      <c r="E119" s="137"/>
      <c r="F119" s="137"/>
      <c r="G119" s="137"/>
    </row>
    <row r="120" spans="1:7" ht="15">
      <c r="A120" s="137"/>
      <c r="B120" s="137"/>
      <c r="C120" s="137"/>
      <c r="D120" s="137"/>
      <c r="E120" s="137"/>
      <c r="F120" s="137"/>
      <c r="G120" s="137"/>
    </row>
    <row r="121" spans="1:7" ht="15">
      <c r="A121" s="137"/>
      <c r="B121" s="137"/>
      <c r="C121" s="137"/>
      <c r="D121" s="137"/>
      <c r="E121" s="137"/>
      <c r="F121" s="137"/>
      <c r="G121" s="137"/>
    </row>
    <row r="122" spans="1:7" ht="15">
      <c r="A122" s="137"/>
      <c r="B122" s="137"/>
      <c r="C122" s="137"/>
      <c r="D122" s="137"/>
      <c r="E122" s="137"/>
      <c r="F122" s="137"/>
      <c r="G122" s="137"/>
    </row>
    <row r="123" spans="1:7" ht="15">
      <c r="A123" s="137"/>
      <c r="B123" s="137"/>
      <c r="C123" s="137"/>
      <c r="D123" s="137"/>
      <c r="E123" s="137"/>
      <c r="F123" s="137"/>
      <c r="G123" s="137"/>
    </row>
    <row r="124" spans="1:7" ht="15">
      <c r="A124" s="137"/>
      <c r="B124" s="137"/>
      <c r="C124" s="137"/>
      <c r="D124" s="137"/>
      <c r="E124" s="137"/>
      <c r="F124" s="137"/>
      <c r="G124" s="137"/>
    </row>
    <row r="125" spans="1:7" ht="15">
      <c r="A125" s="137"/>
      <c r="B125" s="137"/>
      <c r="C125" s="137"/>
      <c r="D125" s="137"/>
      <c r="E125" s="137"/>
      <c r="F125" s="137"/>
      <c r="G125" s="137"/>
    </row>
    <row r="126" spans="1:7" ht="15">
      <c r="A126" s="137"/>
      <c r="B126" s="137"/>
      <c r="C126" s="137"/>
      <c r="D126" s="137"/>
      <c r="E126" s="137"/>
      <c r="F126" s="137"/>
      <c r="G126" s="137"/>
    </row>
    <row r="127" spans="1:7" ht="15">
      <c r="A127" s="137"/>
      <c r="B127" s="137"/>
      <c r="C127" s="137"/>
      <c r="D127" s="137"/>
      <c r="E127" s="137"/>
      <c r="F127" s="137"/>
      <c r="G127" s="137"/>
    </row>
    <row r="128" spans="1:7" ht="15">
      <c r="A128" s="137"/>
      <c r="B128" s="137"/>
      <c r="C128" s="137"/>
      <c r="D128" s="137"/>
      <c r="E128" s="137"/>
      <c r="F128" s="137"/>
      <c r="G128" s="137"/>
    </row>
    <row r="129" spans="1:7" ht="15">
      <c r="A129" s="137"/>
      <c r="B129" s="137"/>
      <c r="C129" s="137"/>
      <c r="D129" s="137"/>
      <c r="E129" s="137"/>
      <c r="F129" s="137"/>
      <c r="G129" s="137"/>
    </row>
    <row r="130" spans="1:7" ht="15">
      <c r="A130" s="137"/>
      <c r="B130" s="137"/>
      <c r="C130" s="137"/>
      <c r="D130" s="137"/>
      <c r="E130" s="137"/>
      <c r="F130" s="137"/>
      <c r="G130" s="137"/>
    </row>
    <row r="131" spans="1:7" ht="15">
      <c r="A131" s="137"/>
      <c r="B131" s="137"/>
      <c r="C131" s="137"/>
      <c r="D131" s="137"/>
      <c r="E131" s="137"/>
      <c r="F131" s="137"/>
      <c r="G131" s="137"/>
    </row>
    <row r="132" spans="1:7" ht="15">
      <c r="A132" s="137"/>
      <c r="B132" s="137"/>
      <c r="C132" s="137"/>
      <c r="D132" s="137"/>
      <c r="E132" s="137"/>
      <c r="F132" s="137"/>
      <c r="G132" s="137"/>
    </row>
    <row r="133" spans="1:7" ht="15">
      <c r="A133" s="137"/>
      <c r="B133" s="137"/>
      <c r="C133" s="137"/>
      <c r="D133" s="137"/>
      <c r="E133" s="137"/>
      <c r="F133" s="137"/>
      <c r="G133" s="137"/>
    </row>
    <row r="134" spans="1:7" ht="15">
      <c r="A134" s="137"/>
      <c r="B134" s="137"/>
      <c r="C134" s="137"/>
      <c r="D134" s="137"/>
      <c r="E134" s="137"/>
      <c r="F134" s="137"/>
      <c r="G134" s="137"/>
    </row>
    <row r="135" spans="1:7" ht="15">
      <c r="A135" s="137"/>
      <c r="B135" s="137"/>
      <c r="C135" s="137"/>
      <c r="D135" s="137"/>
      <c r="E135" s="137"/>
      <c r="F135" s="137"/>
      <c r="G135" s="137"/>
    </row>
    <row r="136" spans="1:7" ht="15">
      <c r="A136" s="137"/>
      <c r="B136" s="137"/>
      <c r="C136" s="137"/>
      <c r="D136" s="137"/>
      <c r="E136" s="137"/>
      <c r="F136" s="137"/>
      <c r="G136" s="137"/>
    </row>
    <row r="137" spans="1:7" ht="15">
      <c r="A137" s="137"/>
      <c r="B137" s="137"/>
      <c r="C137" s="137"/>
      <c r="D137" s="137"/>
      <c r="E137" s="137"/>
      <c r="F137" s="137"/>
      <c r="G137" s="137"/>
    </row>
    <row r="138" spans="1:7" ht="15">
      <c r="A138" s="137"/>
      <c r="B138" s="137"/>
      <c r="C138" s="137"/>
      <c r="D138" s="137"/>
      <c r="E138" s="137"/>
      <c r="F138" s="137"/>
      <c r="G138" s="137"/>
    </row>
    <row r="139" spans="1:7" ht="15">
      <c r="A139" s="137"/>
      <c r="B139" s="137"/>
      <c r="C139" s="137"/>
      <c r="D139" s="137"/>
      <c r="E139" s="137"/>
      <c r="F139" s="137"/>
      <c r="G139" s="137"/>
    </row>
    <row r="140" spans="1:7" ht="15">
      <c r="A140" s="137"/>
      <c r="B140" s="137"/>
      <c r="C140" s="137"/>
      <c r="D140" s="137"/>
      <c r="E140" s="137"/>
      <c r="F140" s="137"/>
      <c r="G140" s="137"/>
    </row>
    <row r="141" spans="1:7" ht="15">
      <c r="A141" s="137"/>
      <c r="B141" s="137"/>
      <c r="C141" s="137"/>
      <c r="D141" s="137"/>
      <c r="E141" s="137"/>
      <c r="F141" s="137"/>
      <c r="G141" s="137"/>
    </row>
    <row r="142" spans="1:7" ht="15">
      <c r="A142" s="137"/>
      <c r="B142" s="137"/>
      <c r="C142" s="137"/>
      <c r="D142" s="137"/>
      <c r="E142" s="137"/>
      <c r="F142" s="137"/>
      <c r="G142" s="137"/>
    </row>
    <row r="143" spans="1:7" ht="15">
      <c r="A143" s="137"/>
      <c r="B143" s="137"/>
      <c r="C143" s="137"/>
      <c r="D143" s="137"/>
      <c r="E143" s="137"/>
      <c r="F143" s="137"/>
      <c r="G143" s="137"/>
    </row>
    <row r="144" spans="1:7" ht="15">
      <c r="A144" s="137"/>
      <c r="B144" s="137"/>
      <c r="C144" s="137"/>
      <c r="D144" s="137"/>
      <c r="E144" s="137"/>
      <c r="F144" s="137"/>
      <c r="G144" s="137"/>
    </row>
    <row r="145" spans="1:7" ht="15">
      <c r="A145" s="137"/>
      <c r="B145" s="137"/>
      <c r="C145" s="137"/>
      <c r="D145" s="137"/>
      <c r="E145" s="137"/>
      <c r="F145" s="137"/>
      <c r="G145" s="137"/>
    </row>
    <row r="146" spans="1:7" ht="15">
      <c r="A146" s="137"/>
      <c r="B146" s="137"/>
      <c r="C146" s="137"/>
      <c r="D146" s="137"/>
      <c r="E146" s="137"/>
      <c r="F146" s="137"/>
      <c r="G146" s="137"/>
    </row>
    <row r="147" spans="1:7" ht="15">
      <c r="A147" s="137"/>
      <c r="B147" s="137"/>
      <c r="C147" s="137"/>
      <c r="D147" s="137"/>
      <c r="E147" s="137"/>
      <c r="F147" s="137"/>
      <c r="G147" s="137"/>
    </row>
    <row r="148" spans="1:7" ht="15">
      <c r="A148" s="137"/>
      <c r="B148" s="137"/>
      <c r="C148" s="137"/>
      <c r="D148" s="137"/>
      <c r="E148" s="137"/>
      <c r="F148" s="137"/>
      <c r="G148" s="137"/>
    </row>
    <row r="149" spans="1:7" ht="15">
      <c r="A149" s="137"/>
      <c r="B149" s="137"/>
      <c r="C149" s="137"/>
      <c r="D149" s="137"/>
      <c r="E149" s="137"/>
      <c r="F149" s="137"/>
      <c r="G149" s="137"/>
    </row>
    <row r="150" spans="1:7" ht="15">
      <c r="A150" s="137"/>
      <c r="B150" s="137"/>
      <c r="C150" s="137"/>
      <c r="D150" s="137"/>
      <c r="E150" s="137"/>
      <c r="F150" s="137"/>
      <c r="G150" s="137"/>
    </row>
    <row r="151" spans="1:7" ht="15">
      <c r="A151" s="137"/>
      <c r="B151" s="137"/>
      <c r="C151" s="137"/>
      <c r="D151" s="137"/>
      <c r="E151" s="137"/>
      <c r="F151" s="137"/>
      <c r="G151" s="137"/>
    </row>
    <row r="152" spans="1:7" ht="15">
      <c r="A152" s="137"/>
      <c r="B152" s="137"/>
      <c r="C152" s="137"/>
      <c r="D152" s="137"/>
      <c r="E152" s="137"/>
      <c r="F152" s="137"/>
      <c r="G152" s="137"/>
    </row>
    <row r="153" spans="1:7" ht="15">
      <c r="A153" s="137"/>
      <c r="B153" s="137"/>
      <c r="C153" s="137"/>
      <c r="D153" s="137"/>
      <c r="E153" s="137"/>
      <c r="F153" s="137"/>
      <c r="G153" s="137"/>
    </row>
    <row r="154" spans="1:7" ht="15">
      <c r="A154" s="137"/>
      <c r="B154" s="137"/>
      <c r="C154" s="137"/>
      <c r="D154" s="137"/>
      <c r="E154" s="137"/>
      <c r="F154" s="137"/>
      <c r="G154" s="137"/>
    </row>
    <row r="155" spans="1:7" ht="15">
      <c r="A155" s="137"/>
      <c r="B155" s="137"/>
      <c r="C155" s="137"/>
      <c r="D155" s="137"/>
      <c r="E155" s="137"/>
      <c r="F155" s="137"/>
      <c r="G155" s="137"/>
    </row>
    <row r="156" spans="1:7" ht="15">
      <c r="A156" s="137"/>
      <c r="B156" s="137"/>
      <c r="C156" s="137"/>
      <c r="D156" s="137"/>
      <c r="E156" s="137"/>
      <c r="F156" s="137"/>
      <c r="G156" s="137"/>
    </row>
    <row r="157" spans="1:7" ht="15">
      <c r="A157" s="137"/>
      <c r="B157" s="137"/>
      <c r="C157" s="137"/>
      <c r="D157" s="137"/>
      <c r="E157" s="137"/>
      <c r="F157" s="137"/>
      <c r="G157" s="137"/>
    </row>
    <row r="158" spans="1:7" ht="15">
      <c r="A158" s="137"/>
      <c r="B158" s="137"/>
      <c r="C158" s="137"/>
      <c r="D158" s="137"/>
      <c r="E158" s="137"/>
      <c r="F158" s="137"/>
      <c r="G158" s="137"/>
    </row>
    <row r="159" spans="1:7" ht="15">
      <c r="A159" s="137"/>
      <c r="B159" s="137"/>
      <c r="C159" s="137"/>
      <c r="D159" s="137"/>
      <c r="E159" s="137"/>
      <c r="F159" s="137"/>
      <c r="G159" s="137"/>
    </row>
    <row r="160" spans="1:7" ht="15">
      <c r="A160" s="137"/>
      <c r="B160" s="137"/>
      <c r="C160" s="137"/>
      <c r="D160" s="137"/>
      <c r="E160" s="137"/>
      <c r="F160" s="137"/>
      <c r="G160" s="137"/>
    </row>
    <row r="161" spans="1:7" ht="15">
      <c r="A161" s="137"/>
      <c r="B161" s="137"/>
      <c r="C161" s="137"/>
      <c r="D161" s="137"/>
      <c r="E161" s="137"/>
      <c r="F161" s="137"/>
      <c r="G161" s="137"/>
    </row>
    <row r="162" spans="1:7" ht="15">
      <c r="A162" s="137"/>
      <c r="B162" s="137"/>
      <c r="C162" s="137"/>
      <c r="D162" s="137"/>
      <c r="E162" s="137"/>
      <c r="F162" s="137"/>
      <c r="G162" s="137"/>
    </row>
    <row r="163" spans="1:7" ht="15">
      <c r="A163" s="137"/>
      <c r="B163" s="137"/>
      <c r="C163" s="137"/>
      <c r="D163" s="137"/>
      <c r="E163" s="137"/>
      <c r="F163" s="137"/>
      <c r="G163" s="137"/>
    </row>
    <row r="164" spans="1:7" ht="15">
      <c r="A164" s="137"/>
      <c r="B164" s="137"/>
      <c r="C164" s="137"/>
      <c r="D164" s="137"/>
      <c r="E164" s="137"/>
      <c r="F164" s="137"/>
      <c r="G164" s="137"/>
    </row>
    <row r="165" spans="1:7" ht="15">
      <c r="A165" s="137"/>
      <c r="B165" s="137"/>
      <c r="C165" s="137"/>
      <c r="D165" s="137"/>
      <c r="E165" s="137"/>
      <c r="F165" s="137"/>
      <c r="G165" s="137"/>
    </row>
    <row r="166" spans="1:7" ht="15">
      <c r="A166" s="137"/>
      <c r="B166" s="137"/>
      <c r="C166" s="137"/>
      <c r="D166" s="137"/>
      <c r="E166" s="137"/>
      <c r="F166" s="137"/>
      <c r="G166" s="137"/>
    </row>
    <row r="167" spans="1:7" ht="15">
      <c r="A167" s="137"/>
      <c r="B167" s="137"/>
      <c r="C167" s="137"/>
      <c r="D167" s="137"/>
      <c r="E167" s="137"/>
      <c r="F167" s="137"/>
      <c r="G167" s="137"/>
    </row>
    <row r="168" spans="1:7" ht="15">
      <c r="A168" s="137"/>
      <c r="B168" s="137"/>
      <c r="C168" s="137"/>
      <c r="D168" s="137"/>
      <c r="E168" s="137"/>
      <c r="F168" s="137"/>
      <c r="G168" s="137"/>
    </row>
    <row r="169" spans="1:7" ht="15">
      <c r="A169" s="137"/>
      <c r="B169" s="137"/>
      <c r="C169" s="137"/>
      <c r="D169" s="137"/>
      <c r="E169" s="137"/>
      <c r="F169" s="137"/>
      <c r="G169" s="137"/>
    </row>
    <row r="170" spans="1:7" ht="15">
      <c r="A170" s="137"/>
      <c r="B170" s="137"/>
      <c r="C170" s="137"/>
      <c r="D170" s="137"/>
      <c r="E170" s="137"/>
      <c r="F170" s="137"/>
      <c r="G170" s="137"/>
    </row>
    <row r="171" spans="1:7" ht="15">
      <c r="A171" s="137"/>
      <c r="B171" s="137"/>
      <c r="C171" s="137"/>
      <c r="D171" s="137"/>
      <c r="E171" s="137"/>
      <c r="F171" s="137"/>
      <c r="G171" s="137"/>
    </row>
    <row r="172" spans="1:7" ht="15">
      <c r="A172" s="137"/>
      <c r="B172" s="137"/>
      <c r="C172" s="137"/>
      <c r="D172" s="137"/>
      <c r="E172" s="137"/>
      <c r="F172" s="137"/>
      <c r="G172" s="137"/>
    </row>
    <row r="173" spans="1:7" ht="15">
      <c r="A173" s="137"/>
      <c r="B173" s="137"/>
      <c r="C173" s="137"/>
      <c r="D173" s="137"/>
      <c r="E173" s="137"/>
      <c r="F173" s="137"/>
      <c r="G173" s="137"/>
    </row>
    <row r="174" spans="1:7" ht="15">
      <c r="A174" s="137"/>
      <c r="B174" s="137"/>
      <c r="C174" s="137"/>
      <c r="D174" s="137"/>
      <c r="E174" s="137"/>
      <c r="F174" s="137"/>
      <c r="G174" s="137"/>
    </row>
    <row r="175" spans="1:7" ht="15">
      <c r="A175" s="137"/>
      <c r="B175" s="137"/>
      <c r="C175" s="137"/>
      <c r="D175" s="137"/>
      <c r="E175" s="137"/>
      <c r="F175" s="137"/>
      <c r="G175" s="137"/>
    </row>
    <row r="176" spans="1:7" ht="15">
      <c r="A176" s="137"/>
      <c r="B176" s="137"/>
      <c r="C176" s="137"/>
      <c r="D176" s="137"/>
      <c r="E176" s="137"/>
      <c r="F176" s="137"/>
      <c r="G176" s="137"/>
    </row>
    <row r="177" spans="1:7" ht="15">
      <c r="A177" s="137"/>
      <c r="B177" s="137"/>
      <c r="C177" s="137"/>
      <c r="D177" s="137"/>
      <c r="E177" s="137"/>
      <c r="F177" s="137"/>
      <c r="G177" s="137"/>
    </row>
    <row r="178" spans="1:7" ht="15">
      <c r="A178" s="137"/>
      <c r="B178" s="137"/>
      <c r="C178" s="137"/>
      <c r="D178" s="137"/>
      <c r="E178" s="137"/>
      <c r="F178" s="137"/>
      <c r="G178" s="137"/>
    </row>
    <row r="179" spans="1:7" ht="15">
      <c r="A179" s="137"/>
      <c r="B179" s="137"/>
      <c r="C179" s="137"/>
      <c r="D179" s="137"/>
      <c r="E179" s="137"/>
      <c r="F179" s="137"/>
      <c r="G179" s="137"/>
    </row>
    <row r="180" spans="1:7" ht="15">
      <c r="A180" s="137"/>
      <c r="B180" s="137"/>
      <c r="C180" s="137"/>
      <c r="D180" s="137"/>
      <c r="E180" s="137"/>
      <c r="F180" s="137"/>
      <c r="G180" s="137"/>
    </row>
    <row r="181" spans="1:7" ht="15">
      <c r="A181" s="137"/>
      <c r="B181" s="137"/>
      <c r="C181" s="137"/>
      <c r="D181" s="137"/>
      <c r="E181" s="137"/>
      <c r="F181" s="137"/>
      <c r="G181" s="137"/>
    </row>
    <row r="182" spans="1:7" ht="15">
      <c r="A182" s="137"/>
      <c r="B182" s="137"/>
      <c r="C182" s="137"/>
      <c r="D182" s="137"/>
      <c r="E182" s="137"/>
      <c r="F182" s="137"/>
      <c r="G182" s="137"/>
    </row>
    <row r="183" spans="1:7" ht="15">
      <c r="A183" s="137"/>
      <c r="B183" s="137"/>
      <c r="C183" s="137"/>
      <c r="D183" s="137"/>
      <c r="E183" s="137"/>
      <c r="F183" s="137"/>
      <c r="G183" s="137"/>
    </row>
    <row r="184" spans="1:7" ht="15">
      <c r="A184" s="137"/>
      <c r="B184" s="137"/>
      <c r="C184" s="137"/>
      <c r="D184" s="137"/>
      <c r="E184" s="137"/>
      <c r="F184" s="137"/>
      <c r="G184" s="137"/>
    </row>
    <row r="185" spans="1:7" ht="15">
      <c r="A185" s="137"/>
      <c r="B185" s="137"/>
      <c r="C185" s="137"/>
      <c r="D185" s="137"/>
      <c r="E185" s="137"/>
      <c r="F185" s="137"/>
      <c r="G185" s="137"/>
    </row>
    <row r="186" spans="1:7" ht="15">
      <c r="A186" s="137"/>
      <c r="B186" s="137"/>
      <c r="C186" s="137"/>
      <c r="D186" s="137"/>
      <c r="E186" s="137"/>
      <c r="F186" s="137"/>
      <c r="G186" s="137"/>
    </row>
    <row r="187" spans="1:7" ht="15">
      <c r="A187" s="137"/>
      <c r="B187" s="137"/>
      <c r="C187" s="137"/>
      <c r="D187" s="137"/>
      <c r="E187" s="137"/>
      <c r="F187" s="137"/>
      <c r="G187" s="137"/>
    </row>
    <row r="188" spans="1:7" ht="15">
      <c r="A188" s="137"/>
      <c r="B188" s="137"/>
      <c r="C188" s="137"/>
      <c r="D188" s="137"/>
      <c r="E188" s="137"/>
      <c r="F188" s="137"/>
      <c r="G188" s="137"/>
    </row>
    <row r="189" spans="1:7" ht="15">
      <c r="A189" s="137"/>
      <c r="B189" s="137"/>
      <c r="C189" s="137"/>
      <c r="D189" s="137"/>
      <c r="E189" s="137"/>
      <c r="F189" s="137"/>
      <c r="G189" s="137"/>
    </row>
    <row r="190" spans="1:7" ht="15">
      <c r="A190" s="137"/>
      <c r="B190" s="137"/>
      <c r="C190" s="137"/>
      <c r="D190" s="137"/>
      <c r="E190" s="137"/>
      <c r="F190" s="137"/>
      <c r="G190" s="137"/>
    </row>
    <row r="191" spans="1:7" ht="15">
      <c r="A191" s="137"/>
      <c r="B191" s="137"/>
      <c r="C191" s="137"/>
      <c r="D191" s="137"/>
      <c r="E191" s="137"/>
      <c r="F191" s="137"/>
      <c r="G191" s="137"/>
    </row>
    <row r="192" spans="1:7" ht="15">
      <c r="A192" s="137"/>
      <c r="B192" s="137"/>
      <c r="C192" s="137"/>
      <c r="D192" s="137"/>
      <c r="E192" s="137"/>
      <c r="F192" s="137"/>
      <c r="G192" s="137"/>
    </row>
    <row r="193" spans="1:7" ht="15">
      <c r="A193" s="137"/>
      <c r="B193" s="137"/>
      <c r="C193" s="137"/>
      <c r="D193" s="137"/>
      <c r="E193" s="137"/>
      <c r="F193" s="137"/>
      <c r="G193" s="137"/>
    </row>
    <row r="194" spans="1:7" ht="15">
      <c r="A194" s="137"/>
      <c r="B194" s="137"/>
      <c r="C194" s="137"/>
      <c r="D194" s="137"/>
      <c r="E194" s="137"/>
      <c r="F194" s="137"/>
      <c r="G194" s="137"/>
    </row>
    <row r="195" spans="1:7" ht="15">
      <c r="A195" s="137"/>
      <c r="B195" s="137"/>
      <c r="C195" s="137"/>
      <c r="D195" s="137"/>
      <c r="E195" s="137"/>
      <c r="F195" s="137"/>
      <c r="G195" s="137"/>
    </row>
    <row r="196" spans="1:7" ht="15">
      <c r="A196" s="137"/>
      <c r="B196" s="137"/>
      <c r="C196" s="137"/>
      <c r="D196" s="137"/>
      <c r="E196" s="137"/>
      <c r="F196" s="137"/>
      <c r="G196" s="137"/>
    </row>
    <row r="197" spans="1:7" ht="15">
      <c r="A197" s="137"/>
      <c r="B197" s="137"/>
      <c r="C197" s="137"/>
      <c r="D197" s="137"/>
      <c r="E197" s="137"/>
      <c r="F197" s="137"/>
      <c r="G197" s="137"/>
    </row>
    <row r="198" spans="1:7" ht="15">
      <c r="A198" s="137"/>
      <c r="B198" s="137"/>
      <c r="C198" s="137"/>
      <c r="D198" s="137"/>
      <c r="E198" s="137"/>
      <c r="F198" s="137"/>
      <c r="G198" s="137"/>
    </row>
    <row r="199" spans="1:7" ht="15">
      <c r="A199" s="137"/>
      <c r="B199" s="137"/>
      <c r="C199" s="137"/>
      <c r="D199" s="137"/>
      <c r="E199" s="137"/>
      <c r="F199" s="137"/>
      <c r="G199" s="137"/>
    </row>
    <row r="200" spans="1:7" ht="15">
      <c r="A200" s="137"/>
      <c r="B200" s="137"/>
      <c r="C200" s="137"/>
      <c r="D200" s="137"/>
      <c r="E200" s="137"/>
      <c r="F200" s="137"/>
      <c r="G200" s="137"/>
    </row>
    <row r="201" spans="1:7" ht="15">
      <c r="A201" s="137"/>
      <c r="B201" s="137"/>
      <c r="C201" s="137"/>
      <c r="D201" s="137"/>
      <c r="E201" s="137"/>
      <c r="F201" s="137"/>
      <c r="G201" s="137"/>
    </row>
    <row r="202" spans="1:7" ht="15">
      <c r="A202" s="137"/>
      <c r="B202" s="137"/>
      <c r="C202" s="137"/>
      <c r="D202" s="137"/>
      <c r="E202" s="137"/>
      <c r="F202" s="137"/>
      <c r="G202" s="137"/>
    </row>
    <row r="203" spans="1:7" ht="15">
      <c r="A203" s="137"/>
      <c r="B203" s="137"/>
      <c r="C203" s="137"/>
      <c r="D203" s="137"/>
      <c r="E203" s="137"/>
      <c r="F203" s="137"/>
      <c r="G203" s="137"/>
    </row>
    <row r="204" spans="1:7" ht="15">
      <c r="A204" s="137"/>
      <c r="B204" s="137"/>
      <c r="C204" s="137"/>
      <c r="D204" s="137"/>
      <c r="E204" s="137"/>
      <c r="F204" s="137"/>
      <c r="G204" s="137"/>
    </row>
    <row r="205" spans="1:7" ht="15">
      <c r="A205" s="137"/>
      <c r="B205" s="137"/>
      <c r="C205" s="137"/>
      <c r="D205" s="137"/>
      <c r="E205" s="137"/>
      <c r="F205" s="137"/>
      <c r="G205" s="137"/>
    </row>
    <row r="206" spans="1:7" ht="15">
      <c r="A206" s="137"/>
      <c r="B206" s="137"/>
      <c r="C206" s="137"/>
      <c r="D206" s="137"/>
      <c r="E206" s="137"/>
      <c r="F206" s="137"/>
      <c r="G206" s="137"/>
    </row>
    <row r="207" spans="1:7" ht="15">
      <c r="A207" s="137"/>
      <c r="B207" s="137"/>
      <c r="C207" s="137"/>
      <c r="D207" s="137"/>
      <c r="E207" s="137"/>
      <c r="F207" s="137"/>
      <c r="G207" s="137"/>
    </row>
    <row r="208" spans="1:7" ht="15">
      <c r="A208" s="137"/>
      <c r="B208" s="137"/>
      <c r="C208" s="137"/>
      <c r="D208" s="137"/>
      <c r="E208" s="137"/>
      <c r="F208" s="137"/>
      <c r="G208" s="137"/>
    </row>
    <row r="209" spans="1:7" ht="15">
      <c r="A209" s="137"/>
      <c r="B209" s="137"/>
      <c r="C209" s="137"/>
      <c r="D209" s="137"/>
      <c r="E209" s="137"/>
      <c r="F209" s="137"/>
      <c r="G209" s="137"/>
    </row>
    <row r="210" spans="1:7" ht="15">
      <c r="A210" s="137"/>
      <c r="B210" s="137"/>
      <c r="C210" s="137"/>
      <c r="D210" s="137"/>
      <c r="E210" s="137"/>
      <c r="F210" s="137"/>
      <c r="G210" s="137"/>
    </row>
    <row r="211" spans="1:7" ht="15">
      <c r="A211" s="137"/>
      <c r="B211" s="137"/>
      <c r="C211" s="137"/>
      <c r="D211" s="137"/>
      <c r="E211" s="137"/>
      <c r="F211" s="137"/>
      <c r="G211" s="137"/>
    </row>
    <row r="212" spans="1:7" ht="15">
      <c r="A212" s="137"/>
      <c r="B212" s="137"/>
      <c r="C212" s="137"/>
      <c r="D212" s="137"/>
      <c r="E212" s="137"/>
      <c r="F212" s="137"/>
      <c r="G212" s="137"/>
    </row>
    <row r="213" spans="1:7" ht="15">
      <c r="A213" s="137"/>
      <c r="B213" s="137"/>
      <c r="C213" s="137"/>
      <c r="D213" s="137"/>
      <c r="E213" s="137"/>
      <c r="F213" s="137"/>
      <c r="G213" s="137"/>
    </row>
    <row r="214" spans="1:7" ht="15">
      <c r="A214" s="137"/>
      <c r="B214" s="137"/>
      <c r="C214" s="137"/>
      <c r="D214" s="137"/>
      <c r="E214" s="137"/>
      <c r="F214" s="137"/>
      <c r="G214" s="137"/>
    </row>
    <row r="215" spans="1:7" ht="15">
      <c r="A215" s="137"/>
      <c r="B215" s="137"/>
      <c r="C215" s="137"/>
      <c r="D215" s="137"/>
      <c r="E215" s="137"/>
      <c r="F215" s="137"/>
      <c r="G215" s="137"/>
    </row>
    <row r="216" spans="1:7" ht="15">
      <c r="A216" s="137"/>
      <c r="B216" s="137"/>
      <c r="C216" s="137"/>
      <c r="D216" s="137"/>
      <c r="E216" s="137"/>
      <c r="F216" s="137"/>
      <c r="G216" s="137"/>
    </row>
    <row r="217" spans="1:7" ht="15">
      <c r="A217" s="137"/>
      <c r="B217" s="137"/>
      <c r="C217" s="137"/>
      <c r="D217" s="137"/>
      <c r="E217" s="137"/>
      <c r="F217" s="137"/>
      <c r="G217" s="137"/>
    </row>
    <row r="218" spans="1:7" ht="15">
      <c r="A218" s="137"/>
      <c r="B218" s="137"/>
      <c r="C218" s="137"/>
      <c r="D218" s="137"/>
      <c r="E218" s="137"/>
      <c r="F218" s="137"/>
      <c r="G218" s="137"/>
    </row>
    <row r="219" spans="1:7" ht="15">
      <c r="A219" s="137"/>
      <c r="B219" s="137"/>
      <c r="C219" s="137"/>
      <c r="D219" s="137"/>
      <c r="E219" s="137"/>
      <c r="F219" s="137"/>
      <c r="G219" s="137"/>
    </row>
    <row r="220" spans="1:7" ht="15">
      <c r="A220" s="137"/>
      <c r="B220" s="137"/>
      <c r="C220" s="137"/>
      <c r="D220" s="137"/>
      <c r="E220" s="137"/>
      <c r="F220" s="137"/>
      <c r="G220" s="137"/>
    </row>
    <row r="221" spans="1:7" ht="15">
      <c r="A221" s="137"/>
      <c r="B221" s="137"/>
      <c r="C221" s="137"/>
      <c r="D221" s="137"/>
      <c r="E221" s="137"/>
      <c r="F221" s="137"/>
      <c r="G221" s="137"/>
    </row>
    <row r="222" spans="1:7" ht="15">
      <c r="A222" s="137"/>
      <c r="B222" s="137"/>
      <c r="C222" s="137"/>
      <c r="D222" s="137"/>
      <c r="E222" s="137"/>
      <c r="F222" s="137"/>
      <c r="G222" s="137"/>
    </row>
    <row r="223" spans="1:7" ht="15">
      <c r="A223" s="137"/>
      <c r="B223" s="137"/>
      <c r="C223" s="137"/>
      <c r="D223" s="137"/>
      <c r="E223" s="137"/>
      <c r="F223" s="137"/>
      <c r="G223" s="137"/>
    </row>
    <row r="224" spans="1:7" ht="15">
      <c r="A224" s="137"/>
      <c r="B224" s="137"/>
      <c r="C224" s="137"/>
      <c r="D224" s="137"/>
      <c r="E224" s="137"/>
      <c r="F224" s="137"/>
      <c r="G224" s="137"/>
    </row>
    <row r="225" spans="1:7" ht="15">
      <c r="A225" s="137"/>
      <c r="B225" s="137"/>
      <c r="C225" s="137"/>
      <c r="D225" s="137"/>
      <c r="E225" s="137"/>
      <c r="F225" s="137"/>
      <c r="G225" s="137"/>
    </row>
    <row r="226" spans="1:7" ht="15">
      <c r="A226" s="137"/>
      <c r="B226" s="137"/>
      <c r="C226" s="137"/>
      <c r="D226" s="137"/>
      <c r="E226" s="137"/>
      <c r="F226" s="137"/>
      <c r="G226" s="137"/>
    </row>
    <row r="227" spans="1:7" ht="15">
      <c r="A227" s="137"/>
      <c r="B227" s="137"/>
      <c r="C227" s="137"/>
      <c r="D227" s="137"/>
      <c r="E227" s="137"/>
      <c r="F227" s="137"/>
      <c r="G227" s="137"/>
    </row>
    <row r="228" spans="1:7" ht="15">
      <c r="A228" s="137"/>
      <c r="B228" s="137"/>
      <c r="C228" s="137"/>
      <c r="D228" s="137"/>
      <c r="E228" s="137"/>
      <c r="F228" s="137"/>
      <c r="G228" s="137"/>
    </row>
    <row r="229" spans="1:7" ht="15">
      <c r="A229" s="137"/>
      <c r="B229" s="137"/>
      <c r="C229" s="137"/>
      <c r="D229" s="137"/>
      <c r="E229" s="137"/>
      <c r="F229" s="137"/>
      <c r="G229" s="137"/>
    </row>
    <row r="230" spans="1:7" ht="15">
      <c r="A230" s="137"/>
      <c r="B230" s="137"/>
      <c r="C230" s="137"/>
      <c r="D230" s="137"/>
      <c r="E230" s="137"/>
      <c r="F230" s="137"/>
      <c r="G230" s="137"/>
    </row>
    <row r="231" spans="1:7" ht="15">
      <c r="A231" s="137"/>
      <c r="B231" s="137"/>
      <c r="C231" s="137"/>
      <c r="D231" s="137"/>
      <c r="E231" s="137"/>
      <c r="F231" s="137"/>
      <c r="G231" s="137"/>
    </row>
    <row r="232" spans="1:7" ht="15">
      <c r="A232" s="137"/>
      <c r="B232" s="137"/>
      <c r="C232" s="137"/>
      <c r="D232" s="137"/>
      <c r="E232" s="137"/>
      <c r="F232" s="137"/>
      <c r="G232" s="137"/>
    </row>
    <row r="233" spans="1:7" ht="15">
      <c r="A233" s="137"/>
      <c r="B233" s="137"/>
      <c r="C233" s="137"/>
      <c r="D233" s="137"/>
      <c r="E233" s="137"/>
      <c r="F233" s="137"/>
      <c r="G233" s="137"/>
    </row>
    <row r="234" spans="1:7" ht="15">
      <c r="A234" s="137"/>
      <c r="B234" s="137"/>
      <c r="C234" s="137"/>
      <c r="D234" s="137"/>
      <c r="E234" s="137"/>
      <c r="F234" s="137"/>
      <c r="G234" s="137"/>
    </row>
    <row r="235" spans="1:7" ht="15">
      <c r="A235" s="137"/>
      <c r="B235" s="137"/>
      <c r="C235" s="137"/>
      <c r="D235" s="137"/>
      <c r="E235" s="137"/>
      <c r="F235" s="137"/>
      <c r="G235" s="137"/>
    </row>
    <row r="236" spans="1:7" ht="15">
      <c r="A236" s="137"/>
      <c r="B236" s="137"/>
      <c r="C236" s="137"/>
      <c r="D236" s="137"/>
      <c r="E236" s="137"/>
      <c r="F236" s="137"/>
      <c r="G236" s="137"/>
    </row>
    <row r="237" spans="1:7" ht="15">
      <c r="A237" s="137"/>
      <c r="B237" s="137"/>
      <c r="C237" s="137"/>
      <c r="D237" s="137"/>
      <c r="E237" s="137"/>
      <c r="F237" s="137"/>
      <c r="G237" s="137"/>
    </row>
    <row r="238" spans="1:7" ht="15">
      <c r="A238" s="137"/>
      <c r="B238" s="137"/>
      <c r="C238" s="137"/>
      <c r="D238" s="137"/>
      <c r="E238" s="137"/>
      <c r="F238" s="137"/>
      <c r="G238" s="137"/>
    </row>
    <row r="239" spans="1:7" ht="15">
      <c r="A239" s="137"/>
      <c r="B239" s="137"/>
      <c r="C239" s="137"/>
      <c r="D239" s="137"/>
      <c r="E239" s="137"/>
      <c r="F239" s="137"/>
      <c r="G239" s="137"/>
    </row>
    <row r="240" spans="1:7" ht="15">
      <c r="A240" s="137"/>
      <c r="B240" s="137"/>
      <c r="C240" s="137"/>
      <c r="D240" s="137"/>
      <c r="E240" s="137"/>
      <c r="F240" s="137"/>
      <c r="G240" s="137"/>
    </row>
    <row r="241" spans="1:7" ht="15">
      <c r="A241" s="137"/>
      <c r="B241" s="137"/>
      <c r="C241" s="137"/>
      <c r="D241" s="137"/>
      <c r="E241" s="137"/>
      <c r="F241" s="137"/>
      <c r="G241" s="137"/>
    </row>
    <row r="242" spans="1:7" ht="15">
      <c r="A242" s="137"/>
      <c r="B242" s="137"/>
      <c r="C242" s="137"/>
      <c r="D242" s="137"/>
      <c r="E242" s="137"/>
      <c r="F242" s="137"/>
      <c r="G242" s="137"/>
    </row>
    <row r="243" spans="1:7" ht="15">
      <c r="A243" s="137"/>
      <c r="B243" s="137"/>
      <c r="C243" s="137"/>
      <c r="D243" s="137"/>
      <c r="E243" s="137"/>
      <c r="F243" s="137"/>
      <c r="G243" s="137"/>
    </row>
    <row r="244" spans="1:7" ht="15">
      <c r="A244" s="137"/>
      <c r="B244" s="137"/>
      <c r="C244" s="137"/>
      <c r="D244" s="137"/>
      <c r="E244" s="137"/>
      <c r="F244" s="137"/>
      <c r="G244" s="137"/>
    </row>
    <row r="245" spans="1:7" ht="15">
      <c r="A245" s="137"/>
      <c r="B245" s="137"/>
      <c r="C245" s="137"/>
      <c r="D245" s="137"/>
      <c r="E245" s="137"/>
      <c r="F245" s="137"/>
      <c r="G245" s="137"/>
    </row>
    <row r="246" spans="1:7" ht="15">
      <c r="A246" s="137"/>
      <c r="B246" s="137"/>
      <c r="C246" s="137"/>
      <c r="D246" s="137"/>
      <c r="E246" s="137"/>
      <c r="F246" s="137"/>
      <c r="G246" s="137"/>
    </row>
    <row r="247" spans="1:7" ht="15">
      <c r="A247" s="137"/>
      <c r="B247" s="137"/>
      <c r="C247" s="137"/>
      <c r="D247" s="137"/>
      <c r="E247" s="137"/>
      <c r="F247" s="137"/>
      <c r="G247" s="137"/>
    </row>
    <row r="248" spans="1:7" ht="15">
      <c r="A248" s="137"/>
      <c r="B248" s="137"/>
      <c r="C248" s="137"/>
      <c r="D248" s="137"/>
      <c r="E248" s="137"/>
      <c r="F248" s="137"/>
      <c r="G248" s="137"/>
    </row>
    <row r="249" spans="1:7" ht="15">
      <c r="A249" s="137"/>
      <c r="B249" s="137"/>
      <c r="C249" s="137"/>
      <c r="D249" s="137"/>
      <c r="E249" s="137"/>
      <c r="F249" s="137"/>
      <c r="G249" s="137"/>
    </row>
    <row r="250" spans="1:7" ht="15">
      <c r="A250" s="137"/>
      <c r="B250" s="137"/>
      <c r="C250" s="137"/>
      <c r="D250" s="137"/>
      <c r="E250" s="137"/>
      <c r="F250" s="137"/>
      <c r="G250" s="137"/>
    </row>
    <row r="251" spans="1:7" ht="15">
      <c r="A251" s="137"/>
      <c r="B251" s="137"/>
      <c r="C251" s="137"/>
      <c r="D251" s="137"/>
      <c r="E251" s="137"/>
      <c r="F251" s="137"/>
      <c r="G251" s="137"/>
    </row>
    <row r="252" spans="1:7" ht="15">
      <c r="A252" s="137"/>
      <c r="B252" s="137"/>
      <c r="C252" s="137"/>
      <c r="D252" s="137"/>
      <c r="E252" s="137"/>
      <c r="F252" s="137"/>
      <c r="G252" s="137"/>
    </row>
    <row r="253" spans="1:7" ht="15">
      <c r="A253" s="137"/>
      <c r="B253" s="137"/>
      <c r="C253" s="137"/>
      <c r="D253" s="137"/>
      <c r="E253" s="137"/>
      <c r="F253" s="137"/>
      <c r="G253" s="137"/>
    </row>
    <row r="254" spans="1:7" ht="15">
      <c r="A254" s="137"/>
      <c r="B254" s="137"/>
      <c r="C254" s="137"/>
      <c r="D254" s="137"/>
      <c r="E254" s="137"/>
      <c r="F254" s="137"/>
      <c r="G254" s="137"/>
    </row>
    <row r="255" spans="1:7" ht="15">
      <c r="A255" s="137"/>
      <c r="B255" s="137"/>
      <c r="C255" s="137"/>
      <c r="D255" s="137"/>
      <c r="E255" s="137"/>
      <c r="F255" s="137"/>
      <c r="G255" s="137"/>
    </row>
    <row r="256" spans="1:7" ht="15">
      <c r="A256" s="137"/>
      <c r="B256" s="137"/>
      <c r="C256" s="137"/>
      <c r="D256" s="137"/>
      <c r="E256" s="137"/>
      <c r="F256" s="137"/>
      <c r="G256" s="137"/>
    </row>
    <row r="257" spans="1:7" ht="15">
      <c r="A257" s="137"/>
      <c r="B257" s="137"/>
      <c r="C257" s="137"/>
      <c r="D257" s="137"/>
      <c r="E257" s="137"/>
      <c r="F257" s="137"/>
      <c r="G257" s="137"/>
    </row>
    <row r="258" spans="1:7" ht="15">
      <c r="A258" s="137"/>
      <c r="B258" s="137"/>
      <c r="C258" s="137"/>
      <c r="D258" s="137"/>
      <c r="E258" s="137"/>
      <c r="F258" s="137"/>
      <c r="G258" s="137"/>
    </row>
    <row r="259" spans="1:7" ht="15">
      <c r="A259" s="137"/>
      <c r="B259" s="137"/>
      <c r="C259" s="137"/>
      <c r="D259" s="137"/>
      <c r="E259" s="137"/>
      <c r="F259" s="137"/>
      <c r="G259" s="137"/>
    </row>
    <row r="260" spans="1:7" ht="15">
      <c r="A260" s="137"/>
      <c r="B260" s="137"/>
      <c r="C260" s="137"/>
      <c r="D260" s="137"/>
      <c r="E260" s="137"/>
      <c r="F260" s="137"/>
      <c r="G260" s="137"/>
    </row>
    <row r="261" spans="1:7" ht="15">
      <c r="A261" s="137"/>
      <c r="B261" s="137"/>
      <c r="C261" s="137"/>
      <c r="D261" s="137"/>
      <c r="E261" s="137"/>
      <c r="F261" s="137"/>
      <c r="G261" s="137"/>
    </row>
    <row r="262" spans="1:7" ht="15">
      <c r="A262" s="137"/>
      <c r="B262" s="137"/>
      <c r="C262" s="137"/>
      <c r="D262" s="137"/>
      <c r="E262" s="137"/>
      <c r="F262" s="137"/>
      <c r="G262" s="137"/>
    </row>
    <row r="263" spans="1:7" ht="15">
      <c r="A263" s="137"/>
      <c r="B263" s="137"/>
      <c r="C263" s="137"/>
      <c r="D263" s="137"/>
      <c r="E263" s="137"/>
      <c r="F263" s="137"/>
      <c r="G263" s="137"/>
    </row>
    <row r="264" spans="1:7" ht="15">
      <c r="A264" s="137"/>
      <c r="B264" s="137"/>
      <c r="C264" s="137"/>
      <c r="D264" s="137"/>
      <c r="E264" s="137"/>
      <c r="F264" s="137"/>
      <c r="G264" s="137"/>
    </row>
    <row r="265" spans="1:7" ht="15">
      <c r="A265" s="137"/>
      <c r="B265" s="137"/>
      <c r="C265" s="137"/>
      <c r="D265" s="137"/>
      <c r="E265" s="137"/>
      <c r="F265" s="137"/>
      <c r="G265" s="137"/>
    </row>
    <row r="266" spans="1:7" ht="15">
      <c r="A266" s="137"/>
      <c r="B266" s="137"/>
      <c r="C266" s="137"/>
      <c r="D266" s="137"/>
      <c r="E266" s="137"/>
      <c r="F266" s="137"/>
      <c r="G266" s="137"/>
    </row>
    <row r="267" spans="1:7" ht="15">
      <c r="A267" s="137"/>
      <c r="B267" s="137"/>
      <c r="C267" s="137"/>
      <c r="D267" s="137"/>
      <c r="E267" s="137"/>
      <c r="F267" s="137"/>
      <c r="G267" s="137"/>
    </row>
    <row r="268" spans="1:7" ht="15">
      <c r="A268" s="137"/>
      <c r="B268" s="137"/>
      <c r="C268" s="137"/>
      <c r="D268" s="137"/>
      <c r="E268" s="137"/>
      <c r="F268" s="137"/>
      <c r="G268" s="137"/>
    </row>
    <row r="269" spans="1:7" ht="15">
      <c r="A269" s="137"/>
      <c r="B269" s="137"/>
      <c r="C269" s="137"/>
      <c r="D269" s="137"/>
      <c r="E269" s="137"/>
      <c r="F269" s="137"/>
      <c r="G269" s="137"/>
    </row>
    <row r="270" spans="1:7" ht="15">
      <c r="A270" s="137"/>
      <c r="B270" s="137"/>
      <c r="C270" s="137"/>
      <c r="D270" s="137"/>
      <c r="E270" s="137"/>
      <c r="F270" s="137"/>
      <c r="G270" s="137"/>
    </row>
    <row r="271" spans="1:7" ht="15">
      <c r="A271" s="137"/>
      <c r="B271" s="137"/>
      <c r="C271" s="137"/>
      <c r="D271" s="137"/>
      <c r="E271" s="137"/>
      <c r="F271" s="137"/>
      <c r="G271" s="137"/>
    </row>
    <row r="272" spans="1:7" ht="15">
      <c r="A272" s="137"/>
      <c r="B272" s="137"/>
      <c r="C272" s="137"/>
      <c r="D272" s="137"/>
      <c r="E272" s="137"/>
      <c r="F272" s="137"/>
      <c r="G272" s="137"/>
    </row>
    <row r="273" spans="1:7" ht="15">
      <c r="A273" s="137"/>
      <c r="B273" s="137"/>
      <c r="C273" s="137"/>
      <c r="D273" s="137"/>
      <c r="E273" s="137"/>
      <c r="F273" s="137"/>
      <c r="G273" s="137"/>
    </row>
    <row r="274" spans="1:7" ht="15">
      <c r="A274" s="137"/>
      <c r="B274" s="137"/>
      <c r="C274" s="137"/>
      <c r="D274" s="137"/>
      <c r="E274" s="137"/>
      <c r="F274" s="137"/>
      <c r="G274" s="137"/>
    </row>
    <row r="275" spans="1:7" ht="15">
      <c r="A275" s="137"/>
      <c r="B275" s="137"/>
      <c r="C275" s="137"/>
      <c r="D275" s="137"/>
      <c r="E275" s="137"/>
      <c r="F275" s="137"/>
      <c r="G275" s="137"/>
    </row>
    <row r="276" spans="1:7" ht="15">
      <c r="A276" s="137"/>
      <c r="B276" s="137"/>
      <c r="C276" s="137"/>
      <c r="D276" s="137"/>
      <c r="E276" s="137"/>
      <c r="F276" s="137"/>
      <c r="G276" s="137"/>
    </row>
    <row r="277" spans="1:7" ht="15">
      <c r="A277" s="137"/>
      <c r="B277" s="137"/>
      <c r="C277" s="137"/>
      <c r="D277" s="137"/>
      <c r="E277" s="137"/>
      <c r="F277" s="137"/>
      <c r="G277" s="137"/>
    </row>
    <row r="278" spans="1:7" ht="15">
      <c r="A278" s="137"/>
      <c r="B278" s="137"/>
      <c r="C278" s="137"/>
      <c r="D278" s="137"/>
      <c r="E278" s="137"/>
      <c r="F278" s="137"/>
      <c r="G278" s="137"/>
    </row>
    <row r="279" spans="1:7" ht="15">
      <c r="A279" s="137"/>
      <c r="B279" s="137"/>
      <c r="C279" s="137"/>
      <c r="D279" s="137"/>
      <c r="E279" s="137"/>
      <c r="F279" s="137"/>
      <c r="G279" s="137"/>
    </row>
    <row r="280" spans="1:7" ht="15">
      <c r="A280" s="137"/>
      <c r="B280" s="137"/>
      <c r="C280" s="137"/>
      <c r="D280" s="137"/>
      <c r="E280" s="137"/>
      <c r="F280" s="137"/>
      <c r="G280" s="137"/>
    </row>
    <row r="281" spans="1:7" ht="15">
      <c r="A281" s="137"/>
      <c r="B281" s="137"/>
      <c r="C281" s="137"/>
      <c r="D281" s="137"/>
      <c r="E281" s="137"/>
      <c r="F281" s="137"/>
      <c r="G281" s="137"/>
    </row>
    <row r="282" spans="1:7" ht="15">
      <c r="A282" s="137"/>
      <c r="B282" s="137"/>
      <c r="C282" s="137"/>
      <c r="D282" s="137"/>
      <c r="E282" s="137"/>
      <c r="F282" s="137"/>
      <c r="G282" s="137"/>
    </row>
    <row r="283" spans="1:7" ht="15">
      <c r="A283" s="137"/>
      <c r="B283" s="137"/>
      <c r="C283" s="137"/>
      <c r="D283" s="137"/>
      <c r="E283" s="137"/>
      <c r="F283" s="137"/>
      <c r="G283" s="137"/>
    </row>
    <row r="284" spans="1:7" ht="15">
      <c r="A284" s="137"/>
      <c r="B284" s="137"/>
      <c r="C284" s="137"/>
      <c r="D284" s="137"/>
      <c r="E284" s="137"/>
      <c r="F284" s="137"/>
      <c r="G284" s="137"/>
    </row>
    <row r="285" spans="1:7" ht="15">
      <c r="A285" s="137"/>
      <c r="B285" s="137"/>
      <c r="C285" s="137"/>
      <c r="D285" s="137"/>
      <c r="E285" s="137"/>
      <c r="F285" s="137"/>
      <c r="G285" s="137"/>
    </row>
    <row r="286" spans="1:7" ht="15">
      <c r="A286" s="137"/>
      <c r="B286" s="137"/>
      <c r="C286" s="137"/>
      <c r="D286" s="137"/>
      <c r="E286" s="137"/>
      <c r="F286" s="137"/>
      <c r="G286" s="137"/>
    </row>
    <row r="287" spans="1:7" ht="15">
      <c r="A287" s="137"/>
      <c r="B287" s="137"/>
      <c r="C287" s="137"/>
      <c r="D287" s="137"/>
      <c r="E287" s="137"/>
      <c r="F287" s="137"/>
      <c r="G287" s="137"/>
    </row>
    <row r="288" spans="1:7" ht="15">
      <c r="A288" s="137"/>
      <c r="B288" s="137"/>
      <c r="C288" s="137"/>
      <c r="D288" s="137"/>
      <c r="E288" s="137"/>
      <c r="F288" s="137"/>
      <c r="G288" s="137"/>
    </row>
    <row r="289" spans="1:7" ht="15">
      <c r="A289" s="137"/>
      <c r="B289" s="137"/>
      <c r="C289" s="137"/>
      <c r="D289" s="137"/>
      <c r="E289" s="137"/>
      <c r="F289" s="137"/>
      <c r="G289" s="137"/>
    </row>
    <row r="290" spans="1:7" ht="15">
      <c r="A290" s="137"/>
      <c r="B290" s="137"/>
      <c r="C290" s="137"/>
      <c r="D290" s="137"/>
      <c r="E290" s="137"/>
      <c r="F290" s="137"/>
      <c r="G290" s="137"/>
    </row>
    <row r="291" spans="1:7" ht="15">
      <c r="A291" s="137"/>
      <c r="B291" s="137"/>
      <c r="C291" s="137"/>
      <c r="D291" s="137"/>
      <c r="E291" s="137"/>
      <c r="F291" s="137"/>
      <c r="G291" s="137"/>
    </row>
    <row r="292" spans="1:7" ht="15">
      <c r="A292" s="137"/>
      <c r="B292" s="137"/>
      <c r="C292" s="137"/>
      <c r="D292" s="137"/>
      <c r="E292" s="137"/>
      <c r="F292" s="137"/>
      <c r="G292" s="137"/>
    </row>
    <row r="293" spans="1:7" ht="15">
      <c r="A293" s="137"/>
      <c r="B293" s="137"/>
      <c r="C293" s="137"/>
      <c r="D293" s="137"/>
      <c r="E293" s="137"/>
      <c r="F293" s="137"/>
      <c r="G293" s="137"/>
    </row>
    <row r="294" spans="1:7" ht="15">
      <c r="A294" s="137"/>
      <c r="B294" s="137"/>
      <c r="C294" s="137"/>
      <c r="D294" s="137"/>
      <c r="E294" s="137"/>
      <c r="F294" s="137"/>
      <c r="G294" s="137"/>
    </row>
    <row r="295" spans="1:7" ht="15">
      <c r="A295" s="137"/>
      <c r="B295" s="137"/>
      <c r="C295" s="137"/>
      <c r="D295" s="137"/>
      <c r="E295" s="137"/>
      <c r="F295" s="137"/>
      <c r="G295" s="137"/>
    </row>
    <row r="296" spans="1:7" ht="15">
      <c r="A296" s="137"/>
      <c r="B296" s="137"/>
      <c r="C296" s="137"/>
      <c r="D296" s="137"/>
      <c r="E296" s="137"/>
      <c r="F296" s="137"/>
      <c r="G296" s="137"/>
    </row>
    <row r="297" spans="1:7" ht="15">
      <c r="A297" s="137"/>
      <c r="B297" s="137"/>
      <c r="C297" s="137"/>
      <c r="D297" s="137"/>
      <c r="E297" s="137"/>
      <c r="F297" s="137"/>
      <c r="G297" s="137"/>
    </row>
    <row r="298" spans="1:7" ht="15">
      <c r="A298" s="137"/>
      <c r="B298" s="137"/>
      <c r="C298" s="137"/>
      <c r="D298" s="137"/>
      <c r="E298" s="137"/>
      <c r="F298" s="137"/>
      <c r="G298" s="137"/>
    </row>
    <row r="299" spans="1:7" ht="15">
      <c r="A299" s="137"/>
      <c r="B299" s="137"/>
      <c r="C299" s="137"/>
      <c r="D299" s="137"/>
      <c r="E299" s="137"/>
      <c r="F299" s="137"/>
      <c r="G299" s="137"/>
    </row>
    <row r="300" spans="1:7" ht="15">
      <c r="A300" s="137"/>
      <c r="B300" s="137"/>
      <c r="C300" s="137"/>
      <c r="D300" s="137"/>
      <c r="E300" s="137"/>
      <c r="F300" s="137"/>
      <c r="G300" s="137"/>
    </row>
    <row r="301" spans="1:7" ht="15">
      <c r="A301" s="137"/>
      <c r="B301" s="137"/>
      <c r="C301" s="137"/>
      <c r="D301" s="137"/>
      <c r="E301" s="137"/>
      <c r="F301" s="137"/>
      <c r="G301" s="137"/>
    </row>
    <row r="302" spans="1:7" ht="15">
      <c r="A302" s="137"/>
      <c r="B302" s="137"/>
      <c r="C302" s="137"/>
      <c r="D302" s="137"/>
      <c r="E302" s="137"/>
      <c r="F302" s="137"/>
      <c r="G302" s="137"/>
    </row>
    <row r="303" spans="1:7" ht="15">
      <c r="A303" s="137"/>
      <c r="B303" s="137"/>
      <c r="C303" s="137"/>
      <c r="D303" s="137"/>
      <c r="E303" s="137"/>
      <c r="F303" s="137"/>
      <c r="G303" s="137"/>
    </row>
    <row r="304" spans="1:7" ht="15">
      <c r="A304" s="137"/>
      <c r="B304" s="137"/>
      <c r="C304" s="137"/>
      <c r="D304" s="137"/>
      <c r="E304" s="137"/>
      <c r="F304" s="137"/>
      <c r="G304" s="137"/>
    </row>
    <row r="305" spans="1:7" ht="15">
      <c r="A305" s="137"/>
      <c r="B305" s="137"/>
      <c r="C305" s="137"/>
      <c r="D305" s="137"/>
      <c r="E305" s="137"/>
      <c r="F305" s="137"/>
      <c r="G305" s="137"/>
    </row>
    <row r="306" spans="1:7" ht="15">
      <c r="A306" s="137"/>
      <c r="B306" s="137"/>
      <c r="C306" s="137"/>
      <c r="D306" s="137"/>
      <c r="E306" s="137"/>
      <c r="F306" s="137"/>
      <c r="G306" s="137"/>
    </row>
    <row r="307" spans="1:7" ht="15">
      <c r="A307" s="137"/>
      <c r="B307" s="137"/>
      <c r="C307" s="137"/>
      <c r="D307" s="137"/>
      <c r="E307" s="137"/>
      <c r="F307" s="137"/>
      <c r="G307" s="137"/>
    </row>
    <row r="308" spans="1:7" ht="15">
      <c r="A308" s="137"/>
      <c r="B308" s="137"/>
      <c r="C308" s="137"/>
      <c r="D308" s="137"/>
      <c r="E308" s="137"/>
      <c r="F308" s="137"/>
      <c r="G308" s="137"/>
    </row>
    <row r="309" spans="1:7" ht="15">
      <c r="A309" s="137"/>
      <c r="B309" s="137"/>
      <c r="C309" s="137"/>
      <c r="D309" s="137"/>
      <c r="E309" s="137"/>
      <c r="F309" s="137"/>
      <c r="G309" s="137"/>
    </row>
    <row r="310" spans="1:7" ht="15">
      <c r="A310" s="137"/>
      <c r="B310" s="137"/>
      <c r="C310" s="137"/>
      <c r="D310" s="137"/>
      <c r="E310" s="137"/>
      <c r="F310" s="137"/>
      <c r="G310" s="137"/>
    </row>
    <row r="311" spans="1:7" ht="15">
      <c r="A311" s="137"/>
      <c r="B311" s="137"/>
      <c r="C311" s="137"/>
      <c r="D311" s="137"/>
      <c r="E311" s="137"/>
      <c r="F311" s="137"/>
      <c r="G311" s="137"/>
    </row>
    <row r="312" spans="1:7" ht="15">
      <c r="A312" s="137"/>
      <c r="B312" s="137"/>
      <c r="C312" s="137"/>
      <c r="D312" s="137"/>
      <c r="E312" s="137"/>
      <c r="F312" s="137"/>
      <c r="G312" s="137"/>
    </row>
    <row r="313" spans="1:7" ht="15">
      <c r="A313" s="137"/>
      <c r="B313" s="137"/>
      <c r="C313" s="137"/>
      <c r="D313" s="137"/>
      <c r="E313" s="137"/>
      <c r="F313" s="137"/>
      <c r="G313" s="137"/>
    </row>
    <row r="314" spans="1:7" ht="15">
      <c r="A314" s="137"/>
      <c r="B314" s="137"/>
      <c r="C314" s="137"/>
      <c r="D314" s="137"/>
      <c r="E314" s="137"/>
      <c r="F314" s="137"/>
      <c r="G314" s="137"/>
    </row>
    <row r="315" spans="1:7" ht="15">
      <c r="A315" s="137"/>
      <c r="B315" s="137"/>
      <c r="C315" s="137"/>
      <c r="D315" s="137"/>
      <c r="E315" s="137"/>
      <c r="F315" s="137"/>
      <c r="G315" s="137"/>
    </row>
    <row r="316" spans="1:7" ht="15">
      <c r="A316" s="137"/>
      <c r="B316" s="137"/>
      <c r="C316" s="137"/>
      <c r="D316" s="137"/>
      <c r="E316" s="137"/>
      <c r="F316" s="137"/>
      <c r="G316" s="137"/>
    </row>
    <row r="317" spans="1:7" ht="15">
      <c r="A317" s="137"/>
      <c r="B317" s="137"/>
      <c r="C317" s="137"/>
      <c r="D317" s="137"/>
      <c r="E317" s="137"/>
      <c r="F317" s="137"/>
      <c r="G317" s="137"/>
    </row>
    <row r="318" spans="1:7" ht="15">
      <c r="A318" s="137"/>
      <c r="B318" s="137"/>
      <c r="C318" s="137"/>
      <c r="D318" s="137"/>
      <c r="E318" s="137"/>
      <c r="F318" s="137"/>
      <c r="G318" s="137"/>
    </row>
    <row r="319" spans="1:7" ht="15">
      <c r="A319" s="137"/>
      <c r="B319" s="137"/>
      <c r="C319" s="137"/>
      <c r="D319" s="137"/>
      <c r="E319" s="137"/>
      <c r="F319" s="137"/>
      <c r="G319" s="137"/>
    </row>
    <row r="320" spans="1:7" ht="15">
      <c r="A320" s="137"/>
      <c r="B320" s="137"/>
      <c r="C320" s="137"/>
      <c r="D320" s="137"/>
      <c r="E320" s="137"/>
      <c r="F320" s="137"/>
      <c r="G320" s="137"/>
    </row>
    <row r="321" spans="1:7" ht="15">
      <c r="A321" s="137"/>
      <c r="B321" s="137"/>
      <c r="C321" s="137"/>
      <c r="D321" s="137"/>
      <c r="E321" s="137"/>
      <c r="F321" s="137"/>
      <c r="G321" s="137"/>
    </row>
    <row r="322" spans="1:7" ht="15">
      <c r="A322" s="137"/>
      <c r="B322" s="137"/>
      <c r="C322" s="137"/>
      <c r="D322" s="137"/>
      <c r="E322" s="137"/>
      <c r="F322" s="137"/>
      <c r="G322" s="137"/>
    </row>
    <row r="323" spans="1:7" ht="15">
      <c r="A323" s="137"/>
      <c r="B323" s="137"/>
      <c r="C323" s="137"/>
      <c r="D323" s="137"/>
      <c r="E323" s="137"/>
      <c r="F323" s="137"/>
      <c r="G323" s="137"/>
    </row>
    <row r="324" spans="1:7" ht="15">
      <c r="A324" s="137"/>
      <c r="B324" s="137"/>
      <c r="C324" s="137"/>
      <c r="D324" s="137"/>
      <c r="E324" s="137"/>
      <c r="F324" s="137"/>
      <c r="G324" s="137"/>
    </row>
    <row r="325" spans="1:7" ht="15">
      <c r="A325" s="137"/>
      <c r="B325" s="137"/>
      <c r="C325" s="137"/>
      <c r="D325" s="137"/>
      <c r="E325" s="137"/>
      <c r="F325" s="137"/>
      <c r="G325" s="137"/>
    </row>
    <row r="326" spans="1:7" ht="15">
      <c r="A326" s="137"/>
      <c r="B326" s="137"/>
      <c r="C326" s="137"/>
      <c r="D326" s="137"/>
      <c r="E326" s="137"/>
      <c r="F326" s="137"/>
      <c r="G326" s="137"/>
    </row>
    <row r="327" spans="1:7" ht="15">
      <c r="A327" s="137"/>
      <c r="B327" s="137"/>
      <c r="C327" s="137"/>
      <c r="D327" s="137"/>
      <c r="E327" s="137"/>
      <c r="F327" s="137"/>
      <c r="G327" s="137"/>
    </row>
    <row r="328" spans="1:7" ht="15">
      <c r="A328" s="137"/>
      <c r="B328" s="137"/>
      <c r="C328" s="137"/>
      <c r="D328" s="137"/>
      <c r="E328" s="137"/>
      <c r="F328" s="137"/>
      <c r="G328" s="137"/>
    </row>
    <row r="329" spans="1:7" ht="15">
      <c r="A329" s="137"/>
      <c r="B329" s="137"/>
      <c r="C329" s="137"/>
      <c r="D329" s="137"/>
      <c r="E329" s="137"/>
      <c r="F329" s="137"/>
      <c r="G329" s="137"/>
    </row>
    <row r="330" spans="1:7" ht="15">
      <c r="A330" s="137"/>
      <c r="B330" s="137"/>
      <c r="C330" s="137"/>
      <c r="D330" s="137"/>
      <c r="E330" s="137"/>
      <c r="F330" s="137"/>
      <c r="G330" s="137"/>
    </row>
    <row r="331" spans="1:7" ht="15">
      <c r="A331" s="137"/>
      <c r="B331" s="137"/>
      <c r="C331" s="137"/>
      <c r="D331" s="137"/>
      <c r="E331" s="137"/>
      <c r="F331" s="137"/>
      <c r="G331" s="137"/>
    </row>
    <row r="332" spans="1:7" ht="15">
      <c r="A332" s="137"/>
      <c r="B332" s="137"/>
      <c r="C332" s="137"/>
      <c r="D332" s="137"/>
      <c r="E332" s="137"/>
      <c r="F332" s="137"/>
      <c r="G332" s="137"/>
    </row>
    <row r="333" spans="1:7" ht="15">
      <c r="A333" s="137"/>
      <c r="B333" s="137"/>
      <c r="C333" s="137"/>
      <c r="D333" s="137"/>
      <c r="E333" s="137"/>
      <c r="F333" s="137"/>
      <c r="G333" s="137"/>
    </row>
    <row r="334" spans="1:7" ht="15">
      <c r="A334" s="137"/>
      <c r="B334" s="137"/>
      <c r="C334" s="137"/>
      <c r="D334" s="137"/>
      <c r="E334" s="137"/>
      <c r="F334" s="137"/>
      <c r="G334" s="137"/>
    </row>
    <row r="335" spans="1:7" ht="15">
      <c r="A335" s="137"/>
      <c r="B335" s="137"/>
      <c r="C335" s="137"/>
      <c r="D335" s="137"/>
      <c r="E335" s="137"/>
      <c r="F335" s="137"/>
      <c r="G335" s="137"/>
    </row>
    <row r="336" spans="1:7" ht="15">
      <c r="A336" s="137"/>
      <c r="B336" s="137"/>
      <c r="C336" s="137"/>
      <c r="D336" s="137"/>
      <c r="E336" s="137"/>
      <c r="F336" s="137"/>
      <c r="G336" s="137"/>
    </row>
    <row r="337" spans="1:7" ht="15">
      <c r="A337" s="137"/>
      <c r="B337" s="137"/>
      <c r="C337" s="137"/>
      <c r="D337" s="137"/>
      <c r="E337" s="137"/>
      <c r="F337" s="137"/>
      <c r="G337" s="137"/>
    </row>
    <row r="338" spans="1:7" ht="15">
      <c r="A338" s="137"/>
      <c r="B338" s="137"/>
      <c r="C338" s="137"/>
      <c r="D338" s="137"/>
      <c r="E338" s="137"/>
      <c r="F338" s="137"/>
      <c r="G338" s="137"/>
    </row>
    <row r="339" spans="1:7" ht="15">
      <c r="A339" s="137"/>
      <c r="B339" s="137"/>
      <c r="C339" s="137"/>
      <c r="D339" s="137"/>
      <c r="E339" s="137"/>
      <c r="F339" s="137"/>
      <c r="G339" s="137"/>
    </row>
    <row r="340" spans="1:7" ht="15">
      <c r="A340" s="137"/>
      <c r="B340" s="137"/>
      <c r="C340" s="137"/>
      <c r="D340" s="137"/>
      <c r="E340" s="137"/>
      <c r="F340" s="137"/>
      <c r="G340" s="137"/>
    </row>
    <row r="341" spans="1:7" ht="15">
      <c r="A341" s="137"/>
      <c r="B341" s="137"/>
      <c r="C341" s="137"/>
      <c r="D341" s="137"/>
      <c r="E341" s="137"/>
      <c r="F341" s="137"/>
      <c r="G341" s="137"/>
    </row>
    <row r="342" spans="1:7" ht="15">
      <c r="A342" s="137"/>
      <c r="B342" s="137"/>
      <c r="C342" s="137"/>
      <c r="D342" s="137"/>
      <c r="E342" s="137"/>
      <c r="F342" s="137"/>
      <c r="G342" s="137"/>
    </row>
    <row r="343" spans="1:7" ht="15">
      <c r="A343" s="137"/>
      <c r="B343" s="137"/>
      <c r="C343" s="137"/>
      <c r="D343" s="137"/>
      <c r="E343" s="137"/>
      <c r="F343" s="137"/>
      <c r="G343" s="137"/>
    </row>
    <row r="344" spans="1:7" ht="15">
      <c r="A344" s="137"/>
      <c r="B344" s="137"/>
      <c r="C344" s="137"/>
      <c r="D344" s="137"/>
      <c r="E344" s="137"/>
      <c r="F344" s="137"/>
      <c r="G344" s="137"/>
    </row>
    <row r="345" spans="1:7" ht="15">
      <c r="A345" s="137"/>
      <c r="B345" s="137"/>
      <c r="C345" s="137"/>
      <c r="D345" s="137"/>
      <c r="E345" s="137"/>
      <c r="F345" s="137"/>
      <c r="G345" s="137"/>
    </row>
    <row r="346" spans="1:7" ht="15">
      <c r="A346" s="137"/>
      <c r="B346" s="137"/>
      <c r="C346" s="137"/>
      <c r="D346" s="137"/>
      <c r="E346" s="137"/>
      <c r="F346" s="137"/>
      <c r="G346" s="137"/>
    </row>
    <row r="347" spans="1:7" ht="15">
      <c r="A347" s="137"/>
      <c r="B347" s="137"/>
      <c r="C347" s="137"/>
      <c r="D347" s="137"/>
      <c r="E347" s="137"/>
      <c r="F347" s="137"/>
      <c r="G347" s="137"/>
    </row>
    <row r="348" spans="1:7" ht="15">
      <c r="A348" s="137"/>
      <c r="B348" s="137"/>
      <c r="C348" s="137"/>
      <c r="D348" s="137"/>
      <c r="E348" s="137"/>
      <c r="F348" s="137"/>
      <c r="G348" s="137"/>
    </row>
    <row r="349" spans="1:7" ht="15">
      <c r="A349" s="137"/>
      <c r="B349" s="137"/>
      <c r="C349" s="137"/>
      <c r="D349" s="137"/>
      <c r="E349" s="137"/>
      <c r="F349" s="137"/>
      <c r="G349" s="137"/>
    </row>
    <row r="350" spans="1:7" ht="15">
      <c r="A350" s="137"/>
      <c r="B350" s="137"/>
      <c r="C350" s="137"/>
      <c r="D350" s="137"/>
      <c r="E350" s="137"/>
      <c r="F350" s="137"/>
      <c r="G350" s="137"/>
    </row>
    <row r="351" spans="1:7" ht="15">
      <c r="A351" s="137"/>
      <c r="B351" s="137"/>
      <c r="C351" s="137"/>
      <c r="D351" s="137"/>
      <c r="E351" s="137"/>
      <c r="F351" s="137"/>
      <c r="G351" s="137"/>
    </row>
    <row r="352" spans="1:7" ht="15">
      <c r="A352" s="137"/>
      <c r="B352" s="137"/>
      <c r="C352" s="137"/>
      <c r="D352" s="137"/>
      <c r="E352" s="137"/>
      <c r="F352" s="137"/>
      <c r="G352" s="137"/>
    </row>
    <row r="353" spans="1:7" ht="15">
      <c r="A353" s="137"/>
      <c r="B353" s="137"/>
      <c r="C353" s="137"/>
      <c r="D353" s="137"/>
      <c r="E353" s="137"/>
      <c r="F353" s="137"/>
      <c r="G353" s="137"/>
    </row>
    <row r="354" spans="1:7" ht="15">
      <c r="A354" s="137"/>
      <c r="B354" s="137"/>
      <c r="C354" s="137"/>
      <c r="D354" s="137"/>
      <c r="E354" s="137"/>
      <c r="F354" s="137"/>
      <c r="G354" s="137"/>
    </row>
    <row r="355" spans="1:7" ht="15">
      <c r="A355" s="137"/>
      <c r="B355" s="137"/>
      <c r="C355" s="137"/>
      <c r="D355" s="137"/>
      <c r="E355" s="137"/>
      <c r="F355" s="137"/>
      <c r="G355" s="137"/>
    </row>
    <row r="356" spans="1:7" ht="15">
      <c r="A356" s="137"/>
      <c r="B356" s="137"/>
      <c r="C356" s="137"/>
      <c r="D356" s="137"/>
      <c r="E356" s="137"/>
      <c r="F356" s="137"/>
      <c r="G356" s="137"/>
    </row>
    <row r="357" spans="1:7" ht="15">
      <c r="A357" s="137"/>
      <c r="B357" s="137"/>
      <c r="C357" s="137"/>
      <c r="D357" s="137"/>
      <c r="E357" s="137"/>
      <c r="F357" s="137"/>
      <c r="G357" s="137"/>
    </row>
    <row r="358" spans="1:7" ht="15">
      <c r="A358" s="137"/>
      <c r="B358" s="137"/>
      <c r="C358" s="137"/>
      <c r="D358" s="137"/>
      <c r="E358" s="137"/>
      <c r="F358" s="137"/>
      <c r="G358" s="137"/>
    </row>
    <row r="359" spans="1:7" ht="15">
      <c r="A359" s="137"/>
      <c r="B359" s="137"/>
      <c r="C359" s="137"/>
      <c r="D359" s="137"/>
      <c r="E359" s="137"/>
      <c r="F359" s="137"/>
      <c r="G359" s="137"/>
    </row>
    <row r="360" spans="1:7" ht="15">
      <c r="A360" s="137"/>
      <c r="B360" s="137"/>
      <c r="C360" s="137"/>
      <c r="D360" s="137"/>
      <c r="E360" s="137"/>
      <c r="F360" s="137"/>
      <c r="G360" s="137"/>
    </row>
    <row r="361" spans="1:7" ht="15">
      <c r="A361" s="137"/>
      <c r="B361" s="137"/>
      <c r="C361" s="137"/>
      <c r="D361" s="137"/>
      <c r="E361" s="137"/>
      <c r="F361" s="137"/>
      <c r="G361" s="137"/>
    </row>
    <row r="362" spans="1:7" ht="15">
      <c r="A362" s="137"/>
      <c r="B362" s="137"/>
      <c r="C362" s="137"/>
      <c r="D362" s="137"/>
      <c r="E362" s="137"/>
      <c r="F362" s="137"/>
      <c r="G362" s="137"/>
    </row>
    <row r="363" spans="1:7" ht="15">
      <c r="A363" s="137"/>
      <c r="B363" s="137"/>
      <c r="C363" s="137"/>
      <c r="D363" s="137"/>
      <c r="E363" s="137"/>
      <c r="F363" s="137"/>
      <c r="G363" s="137"/>
    </row>
    <row r="364" spans="1:7" ht="15">
      <c r="A364" s="137"/>
      <c r="B364" s="137"/>
      <c r="C364" s="137"/>
      <c r="D364" s="137"/>
      <c r="E364" s="137"/>
      <c r="F364" s="137"/>
      <c r="G364" s="137"/>
    </row>
    <row r="365" spans="1:7" ht="15">
      <c r="A365" s="137"/>
      <c r="B365" s="137"/>
      <c r="C365" s="137"/>
      <c r="D365" s="137"/>
      <c r="E365" s="137"/>
      <c r="F365" s="137"/>
      <c r="G365" s="137"/>
    </row>
    <row r="366" spans="1:7" ht="15">
      <c r="A366" s="137"/>
      <c r="B366" s="137"/>
      <c r="C366" s="137"/>
      <c r="D366" s="137"/>
      <c r="E366" s="137"/>
      <c r="F366" s="137"/>
      <c r="G366" s="137"/>
    </row>
    <row r="367" spans="1:7" ht="15">
      <c r="A367" s="137"/>
      <c r="B367" s="137"/>
      <c r="C367" s="137"/>
      <c r="D367" s="137"/>
      <c r="E367" s="137"/>
      <c r="F367" s="137"/>
      <c r="G367" s="137"/>
    </row>
    <row r="368" spans="1:7" ht="15">
      <c r="A368" s="137"/>
      <c r="B368" s="137"/>
      <c r="C368" s="137"/>
      <c r="D368" s="137"/>
      <c r="E368" s="137"/>
      <c r="F368" s="137"/>
      <c r="G368" s="137"/>
    </row>
    <row r="369" spans="1:7" ht="15">
      <c r="A369" s="137"/>
      <c r="B369" s="137"/>
      <c r="C369" s="137"/>
      <c r="D369" s="137"/>
      <c r="E369" s="137"/>
      <c r="F369" s="137"/>
      <c r="G369" s="137"/>
    </row>
    <row r="370" spans="1:7" ht="15">
      <c r="A370" s="137"/>
      <c r="B370" s="137"/>
      <c r="C370" s="137"/>
      <c r="D370" s="137"/>
      <c r="E370" s="137"/>
      <c r="F370" s="137"/>
      <c r="G370" s="137"/>
    </row>
    <row r="371" spans="1:7" ht="15">
      <c r="A371" s="137"/>
      <c r="B371" s="137"/>
      <c r="C371" s="137"/>
      <c r="D371" s="137"/>
      <c r="E371" s="137"/>
      <c r="F371" s="137"/>
      <c r="G371" s="137"/>
    </row>
    <row r="372" spans="1:7" ht="15">
      <c r="A372" s="137"/>
      <c r="B372" s="137"/>
      <c r="C372" s="137"/>
      <c r="D372" s="137"/>
      <c r="E372" s="137"/>
      <c r="F372" s="137"/>
      <c r="G372" s="137"/>
    </row>
    <row r="373" spans="1:7" ht="15">
      <c r="A373" s="137"/>
      <c r="B373" s="137"/>
      <c r="C373" s="137"/>
      <c r="D373" s="137"/>
      <c r="E373" s="137"/>
      <c r="F373" s="137"/>
      <c r="G373" s="137"/>
    </row>
    <row r="374" spans="1:7" ht="15">
      <c r="A374" s="137"/>
      <c r="B374" s="137"/>
      <c r="C374" s="137"/>
      <c r="D374" s="137"/>
      <c r="E374" s="137"/>
      <c r="F374" s="137"/>
      <c r="G374" s="137"/>
    </row>
    <row r="375" spans="1:7" ht="15">
      <c r="A375" s="137"/>
      <c r="B375" s="137"/>
      <c r="C375" s="137"/>
      <c r="D375" s="137"/>
      <c r="E375" s="137"/>
      <c r="F375" s="137"/>
      <c r="G375" s="137"/>
    </row>
    <row r="376" spans="1:7" ht="15">
      <c r="A376" s="137"/>
      <c r="B376" s="137"/>
      <c r="C376" s="137"/>
      <c r="D376" s="137"/>
      <c r="E376" s="137"/>
      <c r="F376" s="137"/>
      <c r="G376" s="137"/>
    </row>
    <row r="377" spans="1:7" ht="15">
      <c r="A377" s="137"/>
      <c r="B377" s="137"/>
      <c r="C377" s="137"/>
      <c r="D377" s="137"/>
      <c r="E377" s="137"/>
      <c r="F377" s="137"/>
      <c r="G377" s="137"/>
    </row>
    <row r="378" spans="1:7" ht="15">
      <c r="A378" s="137"/>
      <c r="B378" s="137"/>
      <c r="C378" s="137"/>
      <c r="D378" s="137"/>
      <c r="E378" s="137"/>
      <c r="F378" s="137"/>
      <c r="G378" s="137"/>
    </row>
    <row r="379" spans="1:7" ht="15">
      <c r="A379" s="137"/>
      <c r="B379" s="137"/>
      <c r="C379" s="137"/>
      <c r="D379" s="137"/>
      <c r="E379" s="137"/>
      <c r="F379" s="137"/>
      <c r="G379" s="137"/>
    </row>
    <row r="380" spans="1:7" ht="15">
      <c r="A380" s="137"/>
      <c r="B380" s="137"/>
      <c r="C380" s="137"/>
      <c r="D380" s="137"/>
      <c r="E380" s="137"/>
      <c r="F380" s="137"/>
      <c r="G380" s="137"/>
    </row>
    <row r="381" spans="1:7" ht="15">
      <c r="A381" s="137"/>
      <c r="B381" s="137"/>
      <c r="C381" s="137"/>
      <c r="D381" s="137"/>
      <c r="E381" s="137"/>
      <c r="F381" s="137"/>
      <c r="G381" s="137"/>
    </row>
    <row r="382" spans="1:7" ht="15">
      <c r="A382" s="137"/>
      <c r="B382" s="137"/>
      <c r="C382" s="137"/>
      <c r="D382" s="137"/>
      <c r="E382" s="137"/>
      <c r="F382" s="137"/>
      <c r="G382" s="137"/>
    </row>
    <row r="383" spans="1:7" ht="15">
      <c r="A383" s="137"/>
      <c r="B383" s="137"/>
      <c r="C383" s="137"/>
      <c r="D383" s="137"/>
      <c r="E383" s="137"/>
      <c r="F383" s="137"/>
      <c r="G383" s="137"/>
    </row>
    <row r="384" spans="1:7" ht="15">
      <c r="A384" s="137"/>
      <c r="B384" s="137"/>
      <c r="C384" s="137"/>
      <c r="D384" s="137"/>
      <c r="E384" s="137"/>
      <c r="F384" s="137"/>
      <c r="G384" s="137"/>
    </row>
    <row r="385" spans="1:7" ht="15">
      <c r="A385" s="137"/>
      <c r="B385" s="137"/>
      <c r="C385" s="137"/>
      <c r="D385" s="137"/>
      <c r="E385" s="137"/>
      <c r="F385" s="137"/>
      <c r="G385" s="137"/>
    </row>
    <row r="386" spans="1:7" ht="15">
      <c r="A386" s="137"/>
      <c r="B386" s="137"/>
      <c r="C386" s="137"/>
      <c r="D386" s="137"/>
      <c r="E386" s="137"/>
      <c r="F386" s="137"/>
      <c r="G386" s="137"/>
    </row>
    <row r="387" spans="1:7" ht="15">
      <c r="A387" s="137"/>
      <c r="B387" s="137"/>
      <c r="C387" s="137"/>
      <c r="D387" s="137"/>
      <c r="E387" s="137"/>
      <c r="F387" s="137"/>
      <c r="G387" s="137"/>
    </row>
    <row r="388" spans="1:7" ht="15">
      <c r="A388" s="137"/>
      <c r="B388" s="137"/>
      <c r="C388" s="137"/>
      <c r="D388" s="137"/>
      <c r="E388" s="137"/>
      <c r="F388" s="137"/>
      <c r="G388" s="137"/>
    </row>
    <row r="389" spans="1:7" ht="15">
      <c r="A389" s="137"/>
      <c r="B389" s="137"/>
      <c r="C389" s="137"/>
      <c r="D389" s="137"/>
      <c r="E389" s="137"/>
      <c r="F389" s="137"/>
      <c r="G389" s="137"/>
    </row>
    <row r="390" spans="1:7" ht="15">
      <c r="A390" s="137"/>
      <c r="B390" s="137"/>
      <c r="C390" s="137"/>
      <c r="D390" s="137"/>
      <c r="E390" s="137"/>
      <c r="F390" s="137"/>
      <c r="G390" s="137"/>
    </row>
    <row r="391" spans="1:7" ht="15">
      <c r="A391" s="137"/>
      <c r="B391" s="137"/>
      <c r="C391" s="137"/>
      <c r="D391" s="137"/>
      <c r="E391" s="137"/>
      <c r="F391" s="137"/>
      <c r="G391" s="137"/>
    </row>
    <row r="392" spans="1:7" ht="15">
      <c r="A392" s="137"/>
      <c r="B392" s="137"/>
      <c r="C392" s="137"/>
      <c r="D392" s="137"/>
      <c r="E392" s="137"/>
      <c r="F392" s="137"/>
      <c r="G392" s="137"/>
    </row>
    <row r="393" spans="1:7" ht="15">
      <c r="A393" s="137"/>
      <c r="B393" s="137"/>
      <c r="C393" s="137"/>
      <c r="D393" s="137"/>
      <c r="E393" s="137"/>
      <c r="F393" s="137"/>
      <c r="G393" s="137"/>
    </row>
    <row r="394" spans="1:7" ht="15">
      <c r="A394" s="137"/>
      <c r="B394" s="137"/>
      <c r="C394" s="137"/>
      <c r="D394" s="137"/>
      <c r="E394" s="137"/>
      <c r="F394" s="137"/>
      <c r="G394" s="137"/>
    </row>
    <row r="395" spans="1:7" ht="15">
      <c r="A395" s="137"/>
      <c r="B395" s="137"/>
      <c r="C395" s="137"/>
      <c r="D395" s="137"/>
      <c r="E395" s="137"/>
      <c r="F395" s="137"/>
      <c r="G395" s="137"/>
    </row>
    <row r="396" spans="1:7" ht="15">
      <c r="A396" s="137"/>
      <c r="B396" s="137"/>
      <c r="C396" s="137"/>
      <c r="D396" s="137"/>
      <c r="E396" s="137"/>
      <c r="F396" s="137"/>
      <c r="G396" s="137"/>
    </row>
    <row r="397" spans="1:7" ht="15">
      <c r="A397" s="137"/>
      <c r="B397" s="137"/>
      <c r="C397" s="137"/>
      <c r="D397" s="137"/>
      <c r="E397" s="137"/>
      <c r="F397" s="137"/>
      <c r="G397" s="137"/>
    </row>
    <row r="398" spans="1:7" ht="15">
      <c r="A398" s="137"/>
      <c r="B398" s="137"/>
      <c r="C398" s="137"/>
      <c r="D398" s="137"/>
      <c r="E398" s="137"/>
      <c r="F398" s="137"/>
      <c r="G398" s="137"/>
    </row>
    <row r="399" spans="1:7" ht="15">
      <c r="A399" s="137"/>
      <c r="B399" s="137"/>
      <c r="C399" s="137"/>
      <c r="D399" s="137"/>
      <c r="E399" s="137"/>
      <c r="F399" s="137"/>
      <c r="G399" s="137"/>
    </row>
    <row r="400" spans="1:7" ht="15">
      <c r="A400" s="137"/>
      <c r="B400" s="137"/>
      <c r="C400" s="137"/>
      <c r="D400" s="137"/>
      <c r="E400" s="137"/>
      <c r="F400" s="137"/>
      <c r="G400" s="137"/>
    </row>
    <row r="401" spans="1:7" ht="15">
      <c r="A401" s="137"/>
      <c r="B401" s="137"/>
      <c r="C401" s="137"/>
      <c r="D401" s="137"/>
      <c r="E401" s="137"/>
      <c r="F401" s="137"/>
      <c r="G401" s="137"/>
    </row>
    <row r="402" spans="1:7" ht="15">
      <c r="A402" s="137"/>
      <c r="B402" s="137"/>
      <c r="C402" s="137"/>
      <c r="D402" s="137"/>
      <c r="E402" s="137"/>
      <c r="F402" s="137"/>
      <c r="G402" s="137"/>
    </row>
    <row r="403" spans="1:7" ht="15">
      <c r="A403" s="137"/>
      <c r="B403" s="137"/>
      <c r="C403" s="137"/>
      <c r="D403" s="137"/>
      <c r="E403" s="137"/>
      <c r="F403" s="137"/>
      <c r="G403" s="137"/>
    </row>
    <row r="404" spans="1:7" ht="15">
      <c r="A404" s="137"/>
      <c r="B404" s="137"/>
      <c r="C404" s="137"/>
      <c r="D404" s="137"/>
      <c r="E404" s="137"/>
      <c r="F404" s="137"/>
      <c r="G404" s="137"/>
    </row>
    <row r="405" spans="1:7" ht="15">
      <c r="A405" s="137"/>
      <c r="B405" s="137"/>
      <c r="C405" s="137"/>
      <c r="D405" s="137"/>
      <c r="E405" s="137"/>
      <c r="F405" s="137"/>
      <c r="G405" s="137"/>
    </row>
    <row r="406" spans="1:7" ht="15">
      <c r="A406" s="137"/>
      <c r="B406" s="137"/>
      <c r="C406" s="137"/>
      <c r="D406" s="137"/>
      <c r="E406" s="137"/>
      <c r="F406" s="137"/>
      <c r="G406" s="137"/>
    </row>
    <row r="407" spans="1:7" ht="15">
      <c r="A407" s="137"/>
      <c r="B407" s="137"/>
      <c r="C407" s="137"/>
      <c r="D407" s="137"/>
      <c r="E407" s="137"/>
      <c r="F407" s="137"/>
      <c r="G407" s="137"/>
    </row>
    <row r="408" spans="1:7" ht="15">
      <c r="A408" s="137"/>
      <c r="B408" s="137"/>
      <c r="C408" s="137"/>
      <c r="D408" s="137"/>
      <c r="E408" s="137"/>
      <c r="F408" s="137"/>
      <c r="G408" s="137"/>
    </row>
    <row r="409" spans="1:7" ht="15">
      <c r="A409" s="137"/>
      <c r="B409" s="137"/>
      <c r="C409" s="137"/>
      <c r="D409" s="137"/>
      <c r="E409" s="137"/>
      <c r="F409" s="137"/>
      <c r="G409" s="137"/>
    </row>
    <row r="410" spans="1:7" ht="15">
      <c r="A410" s="137"/>
      <c r="B410" s="137"/>
      <c r="C410" s="137"/>
      <c r="D410" s="137"/>
      <c r="E410" s="137"/>
      <c r="F410" s="137"/>
      <c r="G410" s="137"/>
    </row>
    <row r="411" spans="1:7" ht="15">
      <c r="A411" s="137"/>
      <c r="B411" s="137"/>
      <c r="C411" s="137"/>
      <c r="D411" s="137"/>
      <c r="E411" s="137"/>
      <c r="F411" s="137"/>
      <c r="G411" s="137"/>
    </row>
    <row r="412" spans="1:7" ht="15">
      <c r="A412" s="137"/>
      <c r="B412" s="137"/>
      <c r="C412" s="137"/>
      <c r="D412" s="137"/>
      <c r="E412" s="137"/>
      <c r="F412" s="137"/>
      <c r="G412" s="137"/>
    </row>
    <row r="413" spans="1:7" ht="15">
      <c r="A413" s="137"/>
      <c r="B413" s="137"/>
      <c r="C413" s="137"/>
      <c r="D413" s="137"/>
      <c r="E413" s="137"/>
      <c r="F413" s="137"/>
      <c r="G413" s="137"/>
    </row>
    <row r="414" spans="1:7" ht="15">
      <c r="A414" s="137"/>
      <c r="B414" s="137"/>
      <c r="C414" s="137"/>
      <c r="D414" s="137"/>
      <c r="E414" s="137"/>
      <c r="F414" s="137"/>
      <c r="G414" s="137"/>
    </row>
    <row r="415" spans="1:7" ht="15">
      <c r="A415" s="137"/>
      <c r="B415" s="137"/>
      <c r="C415" s="137"/>
      <c r="D415" s="137"/>
      <c r="E415" s="137"/>
      <c r="F415" s="137"/>
      <c r="G415" s="137"/>
    </row>
    <row r="416" spans="1:7" ht="15">
      <c r="A416" s="137"/>
      <c r="B416" s="137"/>
      <c r="C416" s="137"/>
      <c r="D416" s="137"/>
      <c r="E416" s="137"/>
      <c r="F416" s="137"/>
      <c r="G416" s="137"/>
    </row>
    <row r="417" spans="1:7" ht="15">
      <c r="A417" s="137"/>
      <c r="B417" s="137"/>
      <c r="C417" s="137"/>
      <c r="D417" s="137"/>
      <c r="E417" s="137"/>
      <c r="F417" s="137"/>
      <c r="G417" s="137"/>
    </row>
    <row r="418" spans="1:7" ht="15">
      <c r="A418" s="137"/>
      <c r="B418" s="137"/>
      <c r="C418" s="137"/>
      <c r="D418" s="137"/>
      <c r="E418" s="137"/>
      <c r="F418" s="137"/>
      <c r="G418" s="137"/>
    </row>
    <row r="419" spans="1:7" ht="15">
      <c r="A419" s="137"/>
      <c r="B419" s="137"/>
      <c r="C419" s="137"/>
      <c r="D419" s="137"/>
      <c r="E419" s="137"/>
      <c r="F419" s="137"/>
      <c r="G419" s="137"/>
    </row>
    <row r="420" spans="1:7" ht="15">
      <c r="A420" s="137"/>
      <c r="B420" s="137"/>
      <c r="C420" s="137"/>
      <c r="D420" s="137"/>
      <c r="E420" s="137"/>
      <c r="F420" s="137"/>
      <c r="G420" s="137"/>
    </row>
    <row r="421" spans="1:7" ht="15">
      <c r="A421" s="137"/>
      <c r="B421" s="137"/>
      <c r="C421" s="137"/>
      <c r="D421" s="137"/>
      <c r="E421" s="137"/>
      <c r="F421" s="137"/>
      <c r="G421" s="137"/>
    </row>
    <row r="422" spans="1:7" ht="15">
      <c r="A422" s="137"/>
      <c r="B422" s="137"/>
      <c r="C422" s="137"/>
      <c r="D422" s="137"/>
      <c r="E422" s="137"/>
      <c r="F422" s="137"/>
      <c r="G422" s="137"/>
    </row>
    <row r="423" spans="1:7" ht="15">
      <c r="A423" s="137"/>
      <c r="B423" s="137"/>
      <c r="C423" s="137"/>
      <c r="D423" s="137"/>
      <c r="E423" s="137"/>
      <c r="F423" s="137"/>
      <c r="G423" s="137"/>
    </row>
    <row r="424" spans="1:7" ht="15">
      <c r="A424" s="137"/>
      <c r="B424" s="137"/>
      <c r="C424" s="137"/>
      <c r="D424" s="137"/>
      <c r="E424" s="137"/>
      <c r="F424" s="137"/>
      <c r="G424" s="137"/>
    </row>
    <row r="425" spans="1:7" ht="15">
      <c r="A425" s="137"/>
      <c r="B425" s="137"/>
      <c r="C425" s="137"/>
      <c r="D425" s="137"/>
      <c r="E425" s="137"/>
      <c r="F425" s="137"/>
      <c r="G425" s="137"/>
    </row>
    <row r="426" spans="1:7" ht="15">
      <c r="A426" s="137"/>
      <c r="B426" s="137"/>
      <c r="C426" s="137"/>
      <c r="D426" s="137"/>
      <c r="E426" s="137"/>
      <c r="F426" s="137"/>
      <c r="G426" s="137"/>
    </row>
    <row r="427" spans="1:7" ht="15">
      <c r="A427" s="137"/>
      <c r="B427" s="137"/>
      <c r="C427" s="137"/>
      <c r="D427" s="137"/>
      <c r="E427" s="137"/>
      <c r="F427" s="137"/>
      <c r="G427" s="137"/>
    </row>
    <row r="428" spans="1:7" ht="15">
      <c r="A428" s="137"/>
      <c r="B428" s="137"/>
      <c r="C428" s="137"/>
      <c r="D428" s="137"/>
      <c r="E428" s="137"/>
      <c r="F428" s="137"/>
      <c r="G428" s="137"/>
    </row>
    <row r="429" spans="1:7" ht="15">
      <c r="A429" s="137"/>
      <c r="B429" s="137"/>
      <c r="C429" s="137"/>
      <c r="D429" s="137"/>
      <c r="E429" s="137"/>
      <c r="F429" s="137"/>
      <c r="G429" s="137"/>
    </row>
    <row r="430" spans="1:7" ht="15">
      <c r="A430" s="137"/>
      <c r="B430" s="137"/>
      <c r="C430" s="137"/>
      <c r="D430" s="137"/>
      <c r="E430" s="137"/>
      <c r="F430" s="137"/>
      <c r="G430" s="137"/>
    </row>
    <row r="431" spans="1:7" ht="15">
      <c r="A431" s="137"/>
      <c r="B431" s="137"/>
      <c r="C431" s="137"/>
      <c r="D431" s="137"/>
      <c r="E431" s="137"/>
      <c r="F431" s="137"/>
      <c r="G431" s="137"/>
    </row>
    <row r="432" spans="1:7" ht="15">
      <c r="A432" s="137"/>
      <c r="B432" s="137"/>
      <c r="C432" s="137"/>
      <c r="D432" s="137"/>
      <c r="E432" s="137"/>
      <c r="F432" s="137"/>
      <c r="G432" s="137"/>
    </row>
    <row r="433" spans="1:7" ht="15">
      <c r="A433" s="137"/>
      <c r="B433" s="137"/>
      <c r="C433" s="137"/>
      <c r="D433" s="137"/>
      <c r="E433" s="137"/>
      <c r="F433" s="137"/>
      <c r="G433" s="137"/>
    </row>
    <row r="434" spans="1:7" ht="15">
      <c r="A434" s="137"/>
      <c r="B434" s="137"/>
      <c r="C434" s="137"/>
      <c r="D434" s="137"/>
      <c r="E434" s="137"/>
      <c r="F434" s="137"/>
      <c r="G434" s="137"/>
    </row>
    <row r="435" spans="1:7" ht="15">
      <c r="A435" s="137"/>
      <c r="B435" s="137"/>
      <c r="C435" s="137"/>
      <c r="D435" s="137"/>
      <c r="E435" s="137"/>
      <c r="F435" s="137"/>
      <c r="G435" s="137"/>
    </row>
    <row r="436" spans="1:7" ht="15">
      <c r="A436" s="137"/>
      <c r="B436" s="137"/>
      <c r="C436" s="137"/>
      <c r="D436" s="137"/>
      <c r="E436" s="137"/>
      <c r="F436" s="137"/>
      <c r="G436" s="137"/>
    </row>
    <row r="437" spans="1:7" ht="15">
      <c r="A437" s="137"/>
      <c r="B437" s="137"/>
      <c r="C437" s="137"/>
      <c r="D437" s="137"/>
      <c r="E437" s="137"/>
      <c r="F437" s="137"/>
      <c r="G437" s="137"/>
    </row>
    <row r="438" spans="1:7" ht="15">
      <c r="A438" s="137"/>
      <c r="B438" s="137"/>
      <c r="C438" s="137"/>
      <c r="D438" s="137"/>
      <c r="E438" s="137"/>
      <c r="F438" s="137"/>
      <c r="G438" s="137"/>
    </row>
    <row r="439" spans="1:7" ht="15">
      <c r="A439" s="137"/>
      <c r="B439" s="137"/>
      <c r="C439" s="137"/>
      <c r="D439" s="137"/>
      <c r="E439" s="137"/>
      <c r="F439" s="137"/>
      <c r="G439" s="137"/>
    </row>
    <row r="440" spans="1:7" ht="15">
      <c r="A440" s="137"/>
      <c r="B440" s="137"/>
      <c r="C440" s="137"/>
      <c r="D440" s="137"/>
      <c r="E440" s="137"/>
      <c r="F440" s="137"/>
      <c r="G440" s="137"/>
    </row>
    <row r="441" spans="1:7" ht="15">
      <c r="A441" s="137"/>
      <c r="B441" s="137"/>
      <c r="C441" s="137"/>
      <c r="D441" s="137"/>
      <c r="E441" s="137"/>
      <c r="F441" s="137"/>
      <c r="G441" s="137"/>
    </row>
    <row r="442" spans="1:7" ht="15">
      <c r="A442" s="137"/>
      <c r="B442" s="137"/>
      <c r="C442" s="137"/>
      <c r="D442" s="137"/>
      <c r="E442" s="137"/>
      <c r="F442" s="137"/>
      <c r="G442" s="137"/>
    </row>
    <row r="443" spans="1:7" ht="15">
      <c r="A443" s="137"/>
      <c r="B443" s="137"/>
      <c r="C443" s="137"/>
      <c r="D443" s="137"/>
      <c r="E443" s="137"/>
      <c r="F443" s="137"/>
      <c r="G443" s="137"/>
    </row>
    <row r="444" spans="1:7" ht="15">
      <c r="A444" s="137"/>
      <c r="B444" s="137"/>
      <c r="C444" s="137"/>
      <c r="D444" s="137"/>
      <c r="E444" s="137"/>
      <c r="F444" s="137"/>
      <c r="G444" s="137"/>
    </row>
    <row r="445" spans="1:7" ht="15">
      <c r="A445" s="137"/>
      <c r="B445" s="137"/>
      <c r="C445" s="137"/>
      <c r="D445" s="137"/>
      <c r="E445" s="137"/>
      <c r="F445" s="137"/>
      <c r="G445" s="137"/>
    </row>
    <row r="446" spans="1:7" ht="15">
      <c r="A446" s="137"/>
      <c r="B446" s="137"/>
      <c r="C446" s="137"/>
      <c r="D446" s="137"/>
      <c r="E446" s="137"/>
      <c r="F446" s="137"/>
      <c r="G446" s="137"/>
    </row>
    <row r="447" spans="1:7" ht="15">
      <c r="A447" s="137"/>
      <c r="B447" s="137"/>
      <c r="C447" s="137"/>
      <c r="D447" s="137"/>
      <c r="E447" s="137"/>
      <c r="F447" s="137"/>
      <c r="G447" s="137"/>
    </row>
    <row r="448" spans="1:7" ht="15">
      <c r="A448" s="137"/>
      <c r="B448" s="137"/>
      <c r="C448" s="137"/>
      <c r="D448" s="137"/>
      <c r="E448" s="137"/>
      <c r="F448" s="137"/>
      <c r="G448" s="137"/>
    </row>
    <row r="449" spans="1:7" ht="15">
      <c r="A449" s="137"/>
      <c r="B449" s="137"/>
      <c r="C449" s="137"/>
      <c r="D449" s="137"/>
      <c r="E449" s="137"/>
      <c r="F449" s="137"/>
      <c r="G449" s="137"/>
    </row>
    <row r="450" spans="1:7" ht="15">
      <c r="A450" s="137"/>
      <c r="B450" s="137"/>
      <c r="C450" s="137"/>
      <c r="D450" s="137"/>
      <c r="E450" s="137"/>
      <c r="F450" s="137"/>
      <c r="G450" s="137"/>
    </row>
    <row r="451" spans="1:7" ht="15">
      <c r="A451" s="137"/>
      <c r="B451" s="137"/>
      <c r="C451" s="137"/>
      <c r="D451" s="137"/>
      <c r="E451" s="137"/>
      <c r="F451" s="137"/>
      <c r="G451" s="137"/>
    </row>
    <row r="452" spans="1:7" ht="15">
      <c r="A452" s="137"/>
      <c r="B452" s="137"/>
      <c r="C452" s="137"/>
      <c r="D452" s="137"/>
      <c r="E452" s="137"/>
      <c r="F452" s="137"/>
      <c r="G452" s="137"/>
    </row>
    <row r="453" spans="1:7" ht="15">
      <c r="A453" s="137"/>
      <c r="B453" s="137"/>
      <c r="C453" s="137"/>
      <c r="D453" s="137"/>
      <c r="E453" s="137"/>
      <c r="F453" s="137"/>
      <c r="G453" s="137"/>
    </row>
    <row r="454" spans="1:7" ht="15">
      <c r="A454" s="137"/>
      <c r="B454" s="137"/>
      <c r="C454" s="137"/>
      <c r="D454" s="137"/>
      <c r="E454" s="137"/>
      <c r="F454" s="137"/>
      <c r="G454" s="137"/>
    </row>
    <row r="455" spans="1:7" ht="15">
      <c r="A455" s="137"/>
      <c r="B455" s="137"/>
      <c r="C455" s="137"/>
      <c r="D455" s="137"/>
      <c r="E455" s="137"/>
      <c r="F455" s="137"/>
      <c r="G455" s="137"/>
    </row>
    <row r="456" spans="1:7" ht="15">
      <c r="A456" s="137"/>
      <c r="B456" s="137"/>
      <c r="C456" s="137"/>
      <c r="D456" s="137"/>
      <c r="E456" s="137"/>
      <c r="F456" s="137"/>
      <c r="G456" s="137"/>
    </row>
    <row r="457" spans="1:7" ht="15">
      <c r="A457" s="137"/>
      <c r="B457" s="137"/>
      <c r="C457" s="137"/>
      <c r="D457" s="137"/>
      <c r="E457" s="137"/>
      <c r="F457" s="137"/>
      <c r="G457" s="137"/>
    </row>
    <row r="458" spans="1:7" ht="15">
      <c r="A458" s="137"/>
      <c r="B458" s="137"/>
      <c r="C458" s="137"/>
      <c r="D458" s="137"/>
      <c r="E458" s="137"/>
      <c r="F458" s="137"/>
      <c r="G458" s="137"/>
    </row>
    <row r="459" spans="1:7" ht="15">
      <c r="A459" s="137"/>
      <c r="B459" s="137"/>
      <c r="C459" s="137"/>
      <c r="D459" s="137"/>
      <c r="E459" s="137"/>
      <c r="F459" s="137"/>
      <c r="G459" s="137"/>
    </row>
    <row r="460" spans="1:7" ht="15">
      <c r="A460" s="137"/>
      <c r="B460" s="137"/>
      <c r="C460" s="137"/>
      <c r="D460" s="137"/>
      <c r="E460" s="137"/>
      <c r="F460" s="137"/>
      <c r="G460" s="137"/>
    </row>
    <row r="461" spans="1:7" ht="15">
      <c r="A461" s="137"/>
      <c r="B461" s="137"/>
      <c r="C461" s="137"/>
      <c r="D461" s="137"/>
      <c r="E461" s="137"/>
      <c r="F461" s="137"/>
      <c r="G461" s="137"/>
    </row>
    <row r="462" spans="1:7" ht="15">
      <c r="A462" s="137"/>
      <c r="B462" s="137"/>
      <c r="C462" s="137"/>
      <c r="D462" s="137"/>
      <c r="E462" s="137"/>
      <c r="F462" s="137"/>
      <c r="G462" s="137"/>
    </row>
    <row r="463" spans="1:7" ht="15">
      <c r="A463" s="137"/>
      <c r="B463" s="137"/>
      <c r="C463" s="137"/>
      <c r="D463" s="137"/>
      <c r="E463" s="137"/>
      <c r="F463" s="137"/>
      <c r="G463" s="137"/>
    </row>
    <row r="464" spans="1:7" ht="15">
      <c r="A464" s="137"/>
      <c r="B464" s="137"/>
      <c r="C464" s="137"/>
      <c r="D464" s="137"/>
      <c r="E464" s="137"/>
      <c r="F464" s="137"/>
      <c r="G464" s="137"/>
    </row>
    <row r="465" spans="1:7" ht="15">
      <c r="A465" s="137"/>
      <c r="B465" s="137"/>
      <c r="C465" s="137"/>
      <c r="D465" s="137"/>
      <c r="E465" s="137"/>
      <c r="F465" s="137"/>
      <c r="G465" s="137"/>
    </row>
    <row r="466" spans="1:7" ht="15">
      <c r="A466" s="137"/>
      <c r="B466" s="137"/>
      <c r="C466" s="137"/>
      <c r="D466" s="137"/>
      <c r="E466" s="137"/>
      <c r="F466" s="137"/>
      <c r="G466" s="137"/>
    </row>
    <row r="467" spans="1:7" ht="15">
      <c r="A467" s="137"/>
      <c r="B467" s="137"/>
      <c r="C467" s="137"/>
      <c r="D467" s="137"/>
      <c r="E467" s="137"/>
      <c r="F467" s="137"/>
      <c r="G467" s="137"/>
    </row>
    <row r="468" spans="1:7" ht="15">
      <c r="A468" s="137"/>
      <c r="B468" s="137"/>
      <c r="C468" s="137"/>
      <c r="D468" s="137"/>
      <c r="E468" s="137"/>
      <c r="F468" s="137"/>
      <c r="G468" s="137"/>
    </row>
    <row r="469" spans="1:7" ht="15">
      <c r="A469" s="137"/>
      <c r="B469" s="137"/>
      <c r="C469" s="137"/>
      <c r="D469" s="137"/>
      <c r="E469" s="137"/>
      <c r="F469" s="137"/>
      <c r="G469" s="137"/>
    </row>
    <row r="470" spans="1:7" ht="15">
      <c r="A470" s="137"/>
      <c r="B470" s="137"/>
      <c r="C470" s="137"/>
      <c r="D470" s="137"/>
      <c r="E470" s="137"/>
      <c r="F470" s="137"/>
      <c r="G470" s="137"/>
    </row>
    <row r="471" spans="1:7" ht="15">
      <c r="A471" s="137"/>
      <c r="B471" s="137"/>
      <c r="C471" s="137"/>
      <c r="D471" s="137"/>
      <c r="E471" s="137"/>
      <c r="F471" s="137"/>
      <c r="G471" s="137"/>
    </row>
    <row r="472" spans="1:7" ht="15">
      <c r="A472" s="137"/>
      <c r="B472" s="137"/>
      <c r="C472" s="137"/>
      <c r="D472" s="137"/>
      <c r="E472" s="137"/>
      <c r="F472" s="137"/>
      <c r="G472" s="137"/>
    </row>
    <row r="473" spans="1:7" ht="15">
      <c r="A473" s="137"/>
      <c r="B473" s="137"/>
      <c r="C473" s="137"/>
      <c r="D473" s="137"/>
      <c r="E473" s="137"/>
      <c r="F473" s="137"/>
      <c r="G473" s="137"/>
    </row>
    <row r="474" spans="1:7" ht="15">
      <c r="A474" s="137"/>
      <c r="B474" s="137"/>
      <c r="C474" s="137"/>
      <c r="D474" s="137"/>
      <c r="E474" s="137"/>
      <c r="F474" s="137"/>
      <c r="G474" s="137"/>
    </row>
    <row r="475" spans="1:7" ht="15">
      <c r="A475" s="137"/>
      <c r="B475" s="137"/>
      <c r="C475" s="137"/>
      <c r="D475" s="137"/>
      <c r="E475" s="137"/>
      <c r="F475" s="137"/>
      <c r="G475" s="137"/>
    </row>
    <row r="476" spans="1:7" ht="15">
      <c r="A476" s="137"/>
      <c r="B476" s="137"/>
      <c r="C476" s="137"/>
      <c r="D476" s="137"/>
      <c r="E476" s="137"/>
      <c r="F476" s="137"/>
      <c r="G476" s="137"/>
    </row>
    <row r="477" spans="1:7" ht="15">
      <c r="A477" s="137"/>
      <c r="B477" s="137"/>
      <c r="C477" s="137"/>
      <c r="D477" s="137"/>
      <c r="E477" s="137"/>
      <c r="F477" s="137"/>
      <c r="G477" s="137"/>
    </row>
    <row r="478" spans="1:7" ht="15">
      <c r="A478" s="137"/>
      <c r="B478" s="137"/>
      <c r="C478" s="137"/>
      <c r="D478" s="137"/>
      <c r="E478" s="137"/>
      <c r="F478" s="137"/>
      <c r="G478" s="137"/>
    </row>
    <row r="479" spans="1:7" ht="15">
      <c r="A479" s="137"/>
      <c r="B479" s="137"/>
      <c r="C479" s="137"/>
      <c r="D479" s="137"/>
      <c r="E479" s="137"/>
      <c r="F479" s="137"/>
      <c r="G479" s="137"/>
    </row>
    <row r="480" spans="1:7" ht="15">
      <c r="A480" s="137"/>
      <c r="B480" s="137"/>
      <c r="C480" s="137"/>
      <c r="D480" s="137"/>
      <c r="E480" s="137"/>
      <c r="F480" s="137"/>
      <c r="G480" s="137"/>
    </row>
    <row r="481" spans="1:7" ht="15">
      <c r="A481" s="137"/>
      <c r="B481" s="137"/>
      <c r="C481" s="137"/>
      <c r="D481" s="137"/>
      <c r="E481" s="137"/>
      <c r="F481" s="137"/>
      <c r="G481" s="137"/>
    </row>
    <row r="482" spans="1:7" ht="15">
      <c r="A482" s="137"/>
      <c r="B482" s="137"/>
      <c r="C482" s="137"/>
      <c r="D482" s="137"/>
      <c r="E482" s="137"/>
      <c r="F482" s="137"/>
      <c r="G482" s="137"/>
    </row>
    <row r="483" spans="1:7" ht="15">
      <c r="A483" s="137"/>
      <c r="B483" s="137"/>
      <c r="C483" s="137"/>
      <c r="D483" s="137"/>
      <c r="E483" s="137"/>
      <c r="F483" s="137"/>
      <c r="G483" s="137"/>
    </row>
    <row r="484" spans="1:7" ht="15">
      <c r="A484" s="137"/>
      <c r="B484" s="137"/>
      <c r="C484" s="137"/>
      <c r="D484" s="137"/>
      <c r="E484" s="137"/>
      <c r="F484" s="137"/>
      <c r="G484" s="137"/>
    </row>
    <row r="485" spans="1:7" ht="15">
      <c r="A485" s="137"/>
      <c r="B485" s="137"/>
      <c r="C485" s="137"/>
      <c r="D485" s="137"/>
      <c r="E485" s="137"/>
      <c r="F485" s="137"/>
      <c r="G485" s="137"/>
    </row>
    <row r="486" spans="1:7" ht="15">
      <c r="A486" s="137"/>
      <c r="B486" s="137"/>
      <c r="C486" s="137"/>
      <c r="D486" s="137"/>
      <c r="E486" s="137"/>
      <c r="F486" s="137"/>
      <c r="G486" s="137"/>
    </row>
    <row r="487" spans="1:7" ht="15">
      <c r="A487" s="137"/>
      <c r="B487" s="137"/>
      <c r="C487" s="137"/>
      <c r="D487" s="137"/>
      <c r="E487" s="137"/>
      <c r="F487" s="137"/>
      <c r="G487" s="137"/>
    </row>
    <row r="488" spans="1:7" ht="15">
      <c r="A488" s="137"/>
      <c r="B488" s="137"/>
      <c r="C488" s="137"/>
      <c r="D488" s="137"/>
      <c r="E488" s="137"/>
      <c r="F488" s="137"/>
      <c r="G488" s="137"/>
    </row>
    <row r="489" spans="1:7" ht="15">
      <c r="A489" s="137"/>
      <c r="B489" s="137"/>
      <c r="C489" s="137"/>
      <c r="D489" s="137"/>
      <c r="E489" s="137"/>
      <c r="F489" s="137"/>
      <c r="G489" s="137"/>
    </row>
    <row r="490" spans="1:7" ht="15">
      <c r="A490" s="137"/>
      <c r="B490" s="137"/>
      <c r="C490" s="137"/>
      <c r="D490" s="137"/>
      <c r="E490" s="137"/>
      <c r="F490" s="137"/>
      <c r="G490" s="137"/>
    </row>
    <row r="491" spans="1:7" ht="15">
      <c r="A491" s="137"/>
      <c r="B491" s="137"/>
      <c r="C491" s="137"/>
      <c r="D491" s="137"/>
      <c r="E491" s="137"/>
      <c r="F491" s="137"/>
      <c r="G491" s="137"/>
    </row>
    <row r="492" spans="1:7" ht="15">
      <c r="A492" s="137"/>
      <c r="B492" s="137"/>
      <c r="C492" s="137"/>
      <c r="D492" s="137"/>
      <c r="E492" s="137"/>
      <c r="F492" s="137"/>
      <c r="G492" s="137"/>
    </row>
    <row r="493" spans="1:7" ht="15">
      <c r="A493" s="137"/>
      <c r="B493" s="137"/>
      <c r="C493" s="137"/>
      <c r="D493" s="137"/>
      <c r="E493" s="137"/>
      <c r="F493" s="137"/>
      <c r="G493" s="137"/>
    </row>
    <row r="494" spans="1:7" ht="15">
      <c r="A494" s="137"/>
      <c r="B494" s="137"/>
      <c r="C494" s="137"/>
      <c r="D494" s="137"/>
      <c r="E494" s="137"/>
      <c r="F494" s="137"/>
      <c r="G494" s="137"/>
    </row>
    <row r="495" spans="1:7" ht="15">
      <c r="A495" s="137"/>
      <c r="B495" s="137"/>
      <c r="C495" s="137"/>
      <c r="D495" s="137"/>
      <c r="E495" s="137"/>
      <c r="F495" s="137"/>
      <c r="G495" s="137"/>
    </row>
    <row r="496" spans="1:7" ht="15">
      <c r="A496" s="137"/>
      <c r="B496" s="137"/>
      <c r="C496" s="137"/>
      <c r="D496" s="137"/>
      <c r="E496" s="137"/>
      <c r="F496" s="137"/>
      <c r="G496" s="137"/>
    </row>
    <row r="497" spans="1:7" ht="15">
      <c r="A497" s="137"/>
      <c r="B497" s="137"/>
      <c r="C497" s="137"/>
      <c r="D497" s="137"/>
      <c r="E497" s="137"/>
      <c r="F497" s="137"/>
      <c r="G497" s="137"/>
    </row>
    <row r="498" spans="1:7" ht="15">
      <c r="A498" s="137"/>
      <c r="B498" s="137"/>
      <c r="C498" s="137"/>
      <c r="D498" s="137"/>
      <c r="E498" s="137"/>
      <c r="F498" s="137"/>
      <c r="G498" s="137"/>
    </row>
    <row r="499" spans="1:7" ht="15">
      <c r="A499" s="137"/>
      <c r="B499" s="137"/>
      <c r="C499" s="137"/>
      <c r="D499" s="137"/>
      <c r="E499" s="137"/>
      <c r="F499" s="137"/>
      <c r="G499" s="137"/>
    </row>
    <row r="500" spans="1:7" ht="15">
      <c r="A500" s="137"/>
      <c r="B500" s="137"/>
      <c r="C500" s="137"/>
      <c r="D500" s="137"/>
      <c r="E500" s="137"/>
      <c r="F500" s="137"/>
      <c r="G500" s="137"/>
    </row>
    <row r="501" spans="1:7" ht="15">
      <c r="A501" s="137"/>
      <c r="B501" s="137"/>
      <c r="C501" s="137"/>
      <c r="D501" s="137"/>
      <c r="E501" s="137"/>
      <c r="F501" s="137"/>
      <c r="G501" s="137"/>
    </row>
    <row r="502" spans="1:7" ht="15">
      <c r="A502" s="137"/>
      <c r="B502" s="137"/>
      <c r="C502" s="137"/>
      <c r="D502" s="137"/>
      <c r="E502" s="137"/>
      <c r="F502" s="137"/>
      <c r="G502" s="137"/>
    </row>
    <row r="503" spans="1:7" ht="15">
      <c r="A503" s="137"/>
      <c r="B503" s="137"/>
      <c r="C503" s="137"/>
      <c r="D503" s="137"/>
      <c r="E503" s="137"/>
      <c r="F503" s="137"/>
      <c r="G503" s="137"/>
    </row>
    <row r="504" spans="1:7" ht="15">
      <c r="A504" s="137"/>
      <c r="B504" s="137"/>
      <c r="C504" s="137"/>
      <c r="D504" s="137"/>
      <c r="E504" s="137"/>
      <c r="F504" s="137"/>
      <c r="G504" s="137"/>
    </row>
    <row r="505" spans="1:7" ht="15">
      <c r="A505" s="137"/>
      <c r="B505" s="137"/>
      <c r="C505" s="137"/>
      <c r="D505" s="137"/>
      <c r="E505" s="137"/>
      <c r="F505" s="137"/>
      <c r="G505" s="137"/>
    </row>
    <row r="506" spans="1:7" ht="15">
      <c r="A506" s="137"/>
      <c r="B506" s="137"/>
      <c r="C506" s="137"/>
      <c r="D506" s="137"/>
      <c r="E506" s="137"/>
      <c r="F506" s="137"/>
      <c r="G506" s="137"/>
    </row>
    <row r="507" spans="1:7" ht="15">
      <c r="A507" s="137"/>
      <c r="B507" s="137"/>
      <c r="C507" s="137"/>
      <c r="D507" s="137"/>
      <c r="E507" s="137"/>
      <c r="F507" s="137"/>
      <c r="G507" s="137"/>
    </row>
    <row r="508" spans="1:7" ht="15">
      <c r="A508" s="137"/>
      <c r="B508" s="137"/>
      <c r="C508" s="137"/>
      <c r="D508" s="137"/>
      <c r="E508" s="137"/>
      <c r="F508" s="137"/>
      <c r="G508" s="137"/>
    </row>
    <row r="509" spans="1:7" ht="15">
      <c r="A509" s="137"/>
      <c r="B509" s="137"/>
      <c r="C509" s="137"/>
      <c r="D509" s="137"/>
      <c r="E509" s="137"/>
      <c r="F509" s="137"/>
      <c r="G509" s="137"/>
    </row>
    <row r="510" spans="1:7" ht="15">
      <c r="A510" s="137"/>
      <c r="B510" s="137"/>
      <c r="C510" s="137"/>
      <c r="D510" s="137"/>
      <c r="E510" s="137"/>
      <c r="F510" s="137"/>
      <c r="G510" s="137"/>
    </row>
    <row r="511" spans="1:7" ht="15">
      <c r="A511" s="137"/>
      <c r="B511" s="137"/>
      <c r="C511" s="137"/>
      <c r="D511" s="137"/>
      <c r="E511" s="137"/>
      <c r="F511" s="137"/>
      <c r="G511" s="137"/>
    </row>
    <row r="512" spans="1:7" ht="15">
      <c r="A512" s="137"/>
      <c r="B512" s="137"/>
      <c r="C512" s="137"/>
      <c r="D512" s="137"/>
      <c r="E512" s="137"/>
      <c r="F512" s="137"/>
      <c r="G512" s="137"/>
    </row>
    <row r="513" spans="1:7" ht="15">
      <c r="A513" s="137"/>
      <c r="B513" s="137"/>
      <c r="C513" s="137"/>
      <c r="D513" s="137"/>
      <c r="E513" s="137"/>
      <c r="F513" s="137"/>
      <c r="G513" s="137"/>
    </row>
    <row r="514" spans="1:7" ht="15">
      <c r="A514" s="137"/>
      <c r="B514" s="137"/>
      <c r="C514" s="137"/>
      <c r="D514" s="137"/>
      <c r="E514" s="137"/>
      <c r="F514" s="137"/>
      <c r="G514" s="137"/>
    </row>
    <row r="515" spans="1:7" ht="15">
      <c r="A515" s="137"/>
      <c r="B515" s="137"/>
      <c r="C515" s="137"/>
      <c r="D515" s="137"/>
      <c r="E515" s="137"/>
      <c r="F515" s="137"/>
      <c r="G515" s="137"/>
    </row>
    <row r="516" spans="1:7" ht="15">
      <c r="A516" s="137"/>
      <c r="B516" s="137"/>
      <c r="C516" s="137"/>
      <c r="D516" s="137"/>
      <c r="E516" s="137"/>
      <c r="F516" s="137"/>
      <c r="G516" s="137"/>
    </row>
    <row r="517" spans="1:7" ht="15">
      <c r="A517" s="137"/>
      <c r="B517" s="137"/>
      <c r="C517" s="137"/>
      <c r="D517" s="137"/>
      <c r="E517" s="137"/>
      <c r="F517" s="137"/>
      <c r="G517" s="137"/>
    </row>
    <row r="518" spans="1:7" ht="15">
      <c r="A518" s="137"/>
      <c r="B518" s="137"/>
      <c r="C518" s="137"/>
      <c r="D518" s="137"/>
      <c r="E518" s="137"/>
      <c r="F518" s="137"/>
      <c r="G518" s="137"/>
    </row>
    <row r="519" spans="1:7" ht="15">
      <c r="A519" s="137"/>
      <c r="B519" s="137"/>
      <c r="C519" s="137"/>
      <c r="D519" s="137"/>
      <c r="E519" s="137"/>
      <c r="F519" s="137"/>
      <c r="G519" s="137"/>
    </row>
    <row r="520" spans="1:7" ht="15">
      <c r="A520" s="137"/>
      <c r="B520" s="137"/>
      <c r="C520" s="137"/>
      <c r="D520" s="137"/>
      <c r="E520" s="137"/>
      <c r="F520" s="137"/>
      <c r="G520" s="137"/>
    </row>
    <row r="521" spans="1:7" ht="15">
      <c r="A521" s="137"/>
      <c r="B521" s="137"/>
      <c r="C521" s="137"/>
      <c r="D521" s="137"/>
      <c r="E521" s="137"/>
      <c r="F521" s="137"/>
      <c r="G521" s="137"/>
    </row>
    <row r="522" spans="1:7" ht="15">
      <c r="A522" s="137"/>
      <c r="B522" s="137"/>
      <c r="C522" s="137"/>
      <c r="D522" s="137"/>
      <c r="E522" s="137"/>
      <c r="F522" s="137"/>
      <c r="G522" s="137"/>
    </row>
    <row r="523" spans="1:7" ht="15">
      <c r="A523" s="137"/>
      <c r="B523" s="137"/>
      <c r="C523" s="137"/>
      <c r="D523" s="137"/>
      <c r="E523" s="137"/>
      <c r="F523" s="137"/>
      <c r="G523" s="137"/>
    </row>
    <row r="524" spans="1:7" ht="15">
      <c r="A524" s="137"/>
      <c r="B524" s="137"/>
      <c r="C524" s="137"/>
      <c r="D524" s="137"/>
      <c r="E524" s="137"/>
      <c r="F524" s="137"/>
      <c r="G524" s="137"/>
    </row>
    <row r="525" spans="1:7" ht="15">
      <c r="A525" s="137"/>
      <c r="B525" s="137"/>
      <c r="C525" s="137"/>
      <c r="D525" s="137"/>
      <c r="E525" s="137"/>
      <c r="F525" s="137"/>
      <c r="G525" s="137"/>
    </row>
    <row r="526" spans="1:7" ht="15">
      <c r="A526" s="137"/>
      <c r="B526" s="137"/>
      <c r="C526" s="137"/>
      <c r="D526" s="137"/>
      <c r="E526" s="137"/>
      <c r="F526" s="137"/>
      <c r="G526" s="137"/>
    </row>
    <row r="527" spans="1:7" ht="15">
      <c r="A527" s="137"/>
      <c r="B527" s="137"/>
      <c r="C527" s="137"/>
      <c r="D527" s="137"/>
      <c r="E527" s="137"/>
      <c r="F527" s="137"/>
      <c r="G527" s="137"/>
    </row>
    <row r="528" spans="1:7" ht="15">
      <c r="A528" s="137"/>
      <c r="B528" s="137"/>
      <c r="C528" s="137"/>
      <c r="D528" s="137"/>
      <c r="E528" s="137"/>
      <c r="F528" s="137"/>
      <c r="G528" s="137"/>
    </row>
    <row r="529" spans="1:7" ht="15">
      <c r="A529" s="137"/>
      <c r="B529" s="137"/>
      <c r="C529" s="137"/>
      <c r="D529" s="137"/>
      <c r="E529" s="137"/>
      <c r="F529" s="137"/>
      <c r="G529" s="137"/>
    </row>
    <row r="530" spans="1:7" ht="15">
      <c r="A530" s="137"/>
      <c r="B530" s="137"/>
      <c r="C530" s="137"/>
      <c r="D530" s="137"/>
      <c r="E530" s="137"/>
      <c r="F530" s="137"/>
      <c r="G530" s="137"/>
    </row>
    <row r="531" spans="1:7" ht="15">
      <c r="A531" s="137"/>
      <c r="B531" s="137"/>
      <c r="C531" s="137"/>
      <c r="D531" s="137"/>
      <c r="E531" s="137"/>
      <c r="F531" s="137"/>
      <c r="G531" s="137"/>
    </row>
    <row r="532" spans="1:7" ht="15">
      <c r="A532" s="137"/>
      <c r="B532" s="137"/>
      <c r="C532" s="137"/>
      <c r="D532" s="137"/>
      <c r="E532" s="137"/>
      <c r="F532" s="137"/>
      <c r="G532" s="137"/>
    </row>
    <row r="533" spans="1:7" ht="15">
      <c r="A533" s="137"/>
      <c r="B533" s="137"/>
      <c r="C533" s="137"/>
      <c r="D533" s="137"/>
      <c r="E533" s="137"/>
      <c r="F533" s="137"/>
      <c r="G533" s="137"/>
    </row>
    <row r="534" spans="1:7" ht="15">
      <c r="A534" s="137"/>
      <c r="B534" s="137"/>
      <c r="C534" s="137"/>
      <c r="D534" s="137"/>
      <c r="E534" s="137"/>
      <c r="F534" s="137"/>
      <c r="G534" s="137"/>
    </row>
    <row r="535" spans="1:7" ht="15">
      <c r="A535" s="137"/>
      <c r="B535" s="137"/>
      <c r="C535" s="137"/>
      <c r="D535" s="137"/>
      <c r="E535" s="137"/>
      <c r="F535" s="137"/>
      <c r="G535" s="137"/>
    </row>
    <row r="536" spans="1:7" ht="15">
      <c r="A536" s="137"/>
      <c r="B536" s="137"/>
      <c r="C536" s="137"/>
      <c r="D536" s="137"/>
      <c r="E536" s="137"/>
      <c r="F536" s="137"/>
      <c r="G536" s="137"/>
    </row>
    <row r="537" spans="1:7" ht="15">
      <c r="A537" s="137"/>
      <c r="B537" s="137"/>
      <c r="C537" s="137"/>
      <c r="D537" s="137"/>
      <c r="E537" s="137"/>
      <c r="F537" s="137"/>
      <c r="G537" s="137"/>
    </row>
    <row r="538" spans="1:7" ht="15">
      <c r="A538" s="137"/>
      <c r="B538" s="137"/>
      <c r="C538" s="137"/>
      <c r="D538" s="137"/>
      <c r="E538" s="137"/>
      <c r="F538" s="137"/>
      <c r="G538" s="137"/>
    </row>
    <row r="539" spans="1:7" ht="15">
      <c r="A539" s="137"/>
      <c r="B539" s="137"/>
      <c r="C539" s="137"/>
      <c r="D539" s="137"/>
      <c r="E539" s="137"/>
      <c r="F539" s="137"/>
      <c r="G539" s="137"/>
    </row>
    <row r="540" spans="1:7" ht="15">
      <c r="A540" s="137"/>
      <c r="B540" s="137"/>
      <c r="C540" s="137"/>
      <c r="D540" s="137"/>
      <c r="E540" s="137"/>
      <c r="F540" s="137"/>
      <c r="G540" s="137"/>
    </row>
    <row r="541" spans="1:7" ht="15">
      <c r="A541" s="137"/>
      <c r="B541" s="137"/>
      <c r="C541" s="137"/>
      <c r="D541" s="137"/>
      <c r="E541" s="137"/>
      <c r="F541" s="137"/>
      <c r="G541" s="137"/>
    </row>
    <row r="542" spans="1:7" ht="15">
      <c r="A542" s="137"/>
      <c r="B542" s="137"/>
      <c r="C542" s="137"/>
      <c r="D542" s="137"/>
      <c r="E542" s="137"/>
      <c r="F542" s="137"/>
      <c r="G542" s="137"/>
    </row>
    <row r="543" spans="1:7" ht="15">
      <c r="A543" s="137"/>
      <c r="B543" s="137"/>
      <c r="C543" s="137"/>
      <c r="D543" s="137"/>
      <c r="E543" s="137"/>
      <c r="F543" s="137"/>
      <c r="G543" s="137"/>
    </row>
    <row r="544" spans="1:7" ht="15">
      <c r="A544" s="137"/>
      <c r="B544" s="137"/>
      <c r="C544" s="137"/>
      <c r="D544" s="137"/>
      <c r="E544" s="137"/>
      <c r="F544" s="137"/>
      <c r="G544" s="137"/>
    </row>
    <row r="545" spans="1:7" ht="15">
      <c r="A545" s="137"/>
      <c r="B545" s="137"/>
      <c r="C545" s="137"/>
      <c r="D545" s="137"/>
      <c r="E545" s="137"/>
      <c r="F545" s="137"/>
      <c r="G545" s="137"/>
    </row>
    <row r="546" spans="1:7" ht="15">
      <c r="A546" s="137"/>
      <c r="B546" s="137"/>
      <c r="C546" s="137"/>
      <c r="D546" s="137"/>
      <c r="E546" s="137"/>
      <c r="F546" s="137"/>
      <c r="G546" s="137"/>
    </row>
    <row r="547" spans="1:7" ht="15">
      <c r="A547" s="137"/>
      <c r="B547" s="137"/>
      <c r="C547" s="137"/>
      <c r="D547" s="137"/>
      <c r="E547" s="137"/>
      <c r="F547" s="137"/>
      <c r="G547" s="137"/>
    </row>
    <row r="548" spans="1:7" ht="15">
      <c r="A548" s="137"/>
      <c r="B548" s="137"/>
      <c r="C548" s="137"/>
      <c r="D548" s="137"/>
      <c r="E548" s="137"/>
      <c r="F548" s="137"/>
      <c r="G548" s="137"/>
    </row>
    <row r="549" spans="1:7" ht="15">
      <c r="A549" s="137"/>
      <c r="B549" s="137"/>
      <c r="C549" s="137"/>
      <c r="D549" s="137"/>
      <c r="E549" s="137"/>
      <c r="F549" s="137"/>
      <c r="G549" s="137"/>
    </row>
    <row r="550" spans="1:7" ht="15">
      <c r="A550" s="137"/>
      <c r="B550" s="137"/>
      <c r="C550" s="137"/>
      <c r="D550" s="137"/>
      <c r="E550" s="137"/>
      <c r="F550" s="137"/>
      <c r="G550" s="137"/>
    </row>
    <row r="551" spans="1:7" ht="15">
      <c r="A551" s="137"/>
      <c r="B551" s="137"/>
      <c r="C551" s="137"/>
      <c r="D551" s="137"/>
      <c r="E551" s="137"/>
      <c r="F551" s="137"/>
      <c r="G551" s="137"/>
    </row>
    <row r="552" spans="1:7" ht="15">
      <c r="A552" s="137"/>
      <c r="B552" s="137"/>
      <c r="C552" s="137"/>
      <c r="D552" s="137"/>
      <c r="E552" s="137"/>
      <c r="F552" s="137"/>
      <c r="G552" s="137"/>
    </row>
    <row r="553" spans="1:7" ht="15">
      <c r="A553" s="137"/>
      <c r="B553" s="137"/>
      <c r="C553" s="137"/>
      <c r="D553" s="137"/>
      <c r="E553" s="137"/>
      <c r="F553" s="137"/>
      <c r="G553" s="137"/>
    </row>
    <row r="554" spans="1:7" ht="15">
      <c r="A554" s="137"/>
      <c r="B554" s="137"/>
      <c r="C554" s="137"/>
      <c r="D554" s="137"/>
      <c r="E554" s="137"/>
      <c r="F554" s="137"/>
      <c r="G554" s="137"/>
    </row>
    <row r="555" spans="1:7" ht="15">
      <c r="A555" s="137"/>
      <c r="B555" s="137"/>
      <c r="C555" s="137"/>
      <c r="D555" s="137"/>
      <c r="E555" s="137"/>
      <c r="F555" s="137"/>
      <c r="G555" s="137"/>
    </row>
    <row r="556" spans="1:7" ht="15">
      <c r="A556" s="137"/>
      <c r="B556" s="137"/>
      <c r="C556" s="137"/>
      <c r="D556" s="137"/>
      <c r="E556" s="137"/>
      <c r="F556" s="137"/>
      <c r="G556" s="137"/>
    </row>
    <row r="557" spans="1:7" ht="15">
      <c r="A557" s="137"/>
      <c r="B557" s="137"/>
      <c r="C557" s="137"/>
      <c r="D557" s="137"/>
      <c r="E557" s="137"/>
      <c r="F557" s="137"/>
      <c r="G557" s="137"/>
    </row>
    <row r="558" spans="1:7" ht="15">
      <c r="A558" s="137"/>
      <c r="B558" s="137"/>
      <c r="C558" s="137"/>
      <c r="D558" s="137"/>
      <c r="E558" s="137"/>
      <c r="F558" s="137"/>
      <c r="G558" s="137"/>
    </row>
    <row r="559" spans="1:7" ht="15">
      <c r="A559" s="137"/>
      <c r="B559" s="137"/>
      <c r="C559" s="137"/>
      <c r="D559" s="137"/>
      <c r="E559" s="137"/>
      <c r="F559" s="137"/>
      <c r="G559" s="137"/>
    </row>
    <row r="560" spans="1:7" ht="15">
      <c r="A560" s="137"/>
      <c r="B560" s="137"/>
      <c r="C560" s="137"/>
      <c r="D560" s="137"/>
      <c r="E560" s="137"/>
      <c r="F560" s="137"/>
      <c r="G560" s="137"/>
    </row>
    <row r="561" spans="1:7" ht="15">
      <c r="A561" s="137"/>
      <c r="B561" s="137"/>
      <c r="C561" s="137"/>
      <c r="D561" s="137"/>
      <c r="E561" s="137"/>
      <c r="F561" s="137"/>
      <c r="G561" s="137"/>
    </row>
    <row r="562" spans="1:7" ht="15">
      <c r="A562" s="137"/>
      <c r="B562" s="137"/>
      <c r="C562" s="137"/>
      <c r="D562" s="137"/>
      <c r="E562" s="137"/>
      <c r="F562" s="137"/>
      <c r="G562" s="137"/>
    </row>
    <row r="563" spans="1:7" ht="15">
      <c r="A563" s="137"/>
      <c r="B563" s="137"/>
      <c r="C563" s="137"/>
      <c r="D563" s="137"/>
      <c r="E563" s="137"/>
      <c r="F563" s="137"/>
      <c r="G563" s="137"/>
    </row>
    <row r="564" spans="1:7" ht="15">
      <c r="A564" s="137"/>
      <c r="B564" s="137"/>
      <c r="C564" s="137"/>
      <c r="D564" s="137"/>
      <c r="E564" s="137"/>
      <c r="F564" s="137"/>
      <c r="G564" s="137"/>
    </row>
    <row r="565" spans="1:7" ht="15">
      <c r="A565" s="137"/>
      <c r="B565" s="137"/>
      <c r="C565" s="137"/>
      <c r="D565" s="137"/>
      <c r="E565" s="137"/>
      <c r="F565" s="137"/>
      <c r="G565" s="137"/>
    </row>
    <row r="566" spans="1:7" ht="15">
      <c r="A566" s="137"/>
      <c r="B566" s="137"/>
      <c r="C566" s="137"/>
      <c r="D566" s="137"/>
      <c r="E566" s="137"/>
      <c r="F566" s="137"/>
      <c r="G566" s="137"/>
    </row>
    <row r="567" spans="1:7" ht="15">
      <c r="A567" s="137"/>
      <c r="B567" s="137"/>
      <c r="C567" s="137"/>
      <c r="D567" s="137"/>
      <c r="E567" s="137"/>
      <c r="F567" s="137"/>
      <c r="G567" s="137"/>
    </row>
    <row r="568" spans="1:7" ht="15">
      <c r="A568" s="137"/>
      <c r="B568" s="137"/>
      <c r="C568" s="137"/>
      <c r="D568" s="137"/>
      <c r="E568" s="137"/>
      <c r="F568" s="137"/>
      <c r="G568" s="137"/>
    </row>
    <row r="569" spans="1:7" ht="15">
      <c r="A569" s="137"/>
      <c r="B569" s="137"/>
      <c r="C569" s="137"/>
      <c r="D569" s="137"/>
      <c r="E569" s="137"/>
      <c r="F569" s="137"/>
      <c r="G569" s="137"/>
    </row>
    <row r="570" spans="1:7" ht="15">
      <c r="A570" s="137"/>
      <c r="B570" s="137"/>
      <c r="C570" s="137"/>
      <c r="D570" s="137"/>
      <c r="E570" s="137"/>
      <c r="F570" s="137"/>
      <c r="G570" s="137"/>
    </row>
    <row r="571" spans="1:7" ht="15">
      <c r="A571" s="137"/>
      <c r="B571" s="137"/>
      <c r="C571" s="137"/>
      <c r="D571" s="137"/>
      <c r="E571" s="137"/>
      <c r="F571" s="137"/>
      <c r="G571" s="137"/>
    </row>
    <row r="572" spans="1:7" ht="15">
      <c r="A572" s="137"/>
      <c r="B572" s="137"/>
      <c r="C572" s="137"/>
      <c r="D572" s="137"/>
      <c r="E572" s="137"/>
      <c r="F572" s="137"/>
      <c r="G572" s="137"/>
    </row>
    <row r="573" spans="1:7" ht="15">
      <c r="A573" s="137"/>
      <c r="B573" s="137"/>
      <c r="C573" s="137"/>
      <c r="D573" s="137"/>
      <c r="E573" s="137"/>
      <c r="F573" s="137"/>
      <c r="G573" s="137"/>
    </row>
    <row r="574" spans="1:7" ht="15">
      <c r="A574" s="137"/>
      <c r="B574" s="137"/>
      <c r="C574" s="137"/>
      <c r="D574" s="137"/>
      <c r="E574" s="137"/>
      <c r="F574" s="137"/>
      <c r="G574" s="137"/>
    </row>
    <row r="575" spans="1:7" ht="15">
      <c r="A575" s="137"/>
      <c r="B575" s="137"/>
      <c r="C575" s="137"/>
      <c r="D575" s="137"/>
      <c r="E575" s="137"/>
      <c r="F575" s="137"/>
      <c r="G575" s="137"/>
    </row>
    <row r="576" spans="1:7" ht="15">
      <c r="A576" s="137"/>
      <c r="B576" s="137"/>
      <c r="C576" s="137"/>
      <c r="D576" s="137"/>
      <c r="E576" s="137"/>
      <c r="F576" s="137"/>
      <c r="G576" s="137"/>
    </row>
    <row r="577" spans="1:7" ht="15">
      <c r="A577" s="137"/>
      <c r="B577" s="137"/>
      <c r="C577" s="137"/>
      <c r="D577" s="137"/>
      <c r="E577" s="137"/>
      <c r="F577" s="137"/>
      <c r="G577" s="137"/>
    </row>
    <row r="578" spans="1:7" ht="15">
      <c r="A578" s="137"/>
      <c r="B578" s="137"/>
      <c r="C578" s="137"/>
      <c r="D578" s="137"/>
      <c r="E578" s="137"/>
      <c r="F578" s="137"/>
      <c r="G578" s="137"/>
    </row>
    <row r="579" spans="1:7" ht="15">
      <c r="A579" s="137"/>
      <c r="B579" s="137"/>
      <c r="C579" s="137"/>
      <c r="D579" s="137"/>
      <c r="E579" s="137"/>
      <c r="F579" s="137"/>
      <c r="G579" s="137"/>
    </row>
    <row r="580" spans="1:7" ht="15">
      <c r="A580" s="137"/>
      <c r="B580" s="137"/>
      <c r="C580" s="137"/>
      <c r="D580" s="137"/>
      <c r="E580" s="137"/>
      <c r="F580" s="137"/>
      <c r="G580" s="137"/>
    </row>
    <row r="581" spans="1:7" ht="15">
      <c r="A581" s="137"/>
      <c r="B581" s="137"/>
      <c r="C581" s="137"/>
      <c r="D581" s="137"/>
      <c r="E581" s="137"/>
      <c r="F581" s="137"/>
      <c r="G581" s="137"/>
    </row>
    <row r="582" spans="1:7" ht="15">
      <c r="A582" s="137"/>
      <c r="B582" s="137"/>
      <c r="C582" s="137"/>
      <c r="D582" s="137"/>
      <c r="E582" s="137"/>
      <c r="F582" s="137"/>
      <c r="G582" s="137"/>
    </row>
    <row r="583" spans="1:7" ht="15">
      <c r="A583" s="137"/>
      <c r="B583" s="137"/>
      <c r="C583" s="137"/>
      <c r="D583" s="137"/>
      <c r="E583" s="137"/>
      <c r="F583" s="137"/>
      <c r="G583" s="137"/>
    </row>
    <row r="584" spans="1:7" ht="15">
      <c r="A584" s="137"/>
      <c r="B584" s="137"/>
      <c r="C584" s="137"/>
      <c r="D584" s="137"/>
      <c r="E584" s="137"/>
      <c r="F584" s="137"/>
      <c r="G584" s="137"/>
    </row>
    <row r="585" spans="1:7" ht="15">
      <c r="A585" s="137"/>
      <c r="B585" s="137"/>
      <c r="C585" s="137"/>
      <c r="D585" s="137"/>
      <c r="E585" s="137"/>
      <c r="F585" s="137"/>
      <c r="G585" s="137"/>
    </row>
    <row r="586" spans="1:7" ht="15">
      <c r="A586" s="137"/>
      <c r="B586" s="137"/>
      <c r="C586" s="137"/>
      <c r="D586" s="137"/>
      <c r="E586" s="137"/>
      <c r="F586" s="137"/>
      <c r="G586" s="137"/>
    </row>
    <row r="587" spans="1:7" ht="15">
      <c r="A587" s="137"/>
      <c r="B587" s="137"/>
      <c r="C587" s="137"/>
      <c r="D587" s="137"/>
      <c r="E587" s="137"/>
      <c r="F587" s="137"/>
      <c r="G587" s="137"/>
    </row>
    <row r="588" spans="1:7" ht="15">
      <c r="A588" s="137"/>
      <c r="B588" s="137"/>
      <c r="C588" s="137"/>
      <c r="D588" s="137"/>
      <c r="E588" s="137"/>
      <c r="F588" s="137"/>
      <c r="G588" s="137"/>
    </row>
    <row r="589" spans="1:7" ht="15">
      <c r="A589" s="137"/>
      <c r="B589" s="137"/>
      <c r="C589" s="137"/>
      <c r="D589" s="137"/>
      <c r="E589" s="137"/>
      <c r="F589" s="137"/>
      <c r="G589" s="137"/>
    </row>
    <row r="590" spans="1:7" ht="15">
      <c r="A590" s="137"/>
      <c r="B590" s="137"/>
      <c r="C590" s="137"/>
      <c r="D590" s="137"/>
      <c r="E590" s="137"/>
      <c r="F590" s="137"/>
      <c r="G590" s="137"/>
    </row>
    <row r="591" spans="1:7" ht="15">
      <c r="A591" s="137"/>
      <c r="B591" s="137"/>
      <c r="C591" s="137"/>
      <c r="D591" s="137"/>
      <c r="E591" s="137"/>
      <c r="F591" s="137"/>
      <c r="G591" s="137"/>
    </row>
    <row r="592" spans="1:7" ht="15">
      <c r="A592" s="137"/>
      <c r="B592" s="137"/>
      <c r="C592" s="137"/>
      <c r="D592" s="137"/>
      <c r="E592" s="137"/>
      <c r="F592" s="137"/>
      <c r="G592" s="137"/>
    </row>
    <row r="593" spans="1:7" ht="15">
      <c r="A593" s="137"/>
      <c r="B593" s="137"/>
      <c r="C593" s="137"/>
      <c r="D593" s="137"/>
      <c r="E593" s="137"/>
      <c r="F593" s="137"/>
      <c r="G593" s="137"/>
    </row>
    <row r="594" spans="1:7" ht="15">
      <c r="A594" s="137"/>
      <c r="B594" s="137"/>
      <c r="C594" s="137"/>
      <c r="D594" s="137"/>
      <c r="E594" s="137"/>
      <c r="F594" s="137"/>
      <c r="G594" s="137"/>
    </row>
    <row r="595" spans="1:7" ht="15">
      <c r="A595" s="137"/>
      <c r="B595" s="137"/>
      <c r="C595" s="137"/>
      <c r="D595" s="137"/>
      <c r="E595" s="137"/>
      <c r="F595" s="137"/>
      <c r="G595" s="137"/>
    </row>
    <row r="596" spans="1:7" ht="15">
      <c r="A596" s="137"/>
      <c r="B596" s="137"/>
      <c r="C596" s="137"/>
      <c r="D596" s="137"/>
      <c r="E596" s="137"/>
      <c r="F596" s="137"/>
      <c r="G596" s="137"/>
    </row>
    <row r="597" spans="1:7" ht="15">
      <c r="A597" s="137"/>
      <c r="B597" s="137"/>
      <c r="C597" s="137"/>
      <c r="D597" s="137"/>
      <c r="E597" s="137"/>
      <c r="F597" s="137"/>
      <c r="G597" s="137"/>
    </row>
    <row r="598" spans="1:7" ht="15">
      <c r="A598" s="137"/>
      <c r="B598" s="137"/>
      <c r="C598" s="137"/>
      <c r="D598" s="137"/>
      <c r="E598" s="137"/>
      <c r="F598" s="137"/>
      <c r="G598" s="137"/>
    </row>
    <row r="599" spans="1:7" ht="15">
      <c r="A599" s="137"/>
      <c r="B599" s="137"/>
      <c r="C599" s="137"/>
      <c r="D599" s="137"/>
      <c r="E599" s="137"/>
      <c r="F599" s="137"/>
      <c r="G599" s="137"/>
    </row>
    <row r="600" spans="1:7" ht="15">
      <c r="A600" s="137"/>
      <c r="B600" s="137"/>
      <c r="C600" s="137"/>
      <c r="D600" s="137"/>
      <c r="E600" s="137"/>
      <c r="F600" s="137"/>
      <c r="G600" s="137"/>
    </row>
    <row r="601" spans="1:7" ht="15">
      <c r="A601" s="137"/>
      <c r="B601" s="137"/>
      <c r="C601" s="137"/>
      <c r="D601" s="137"/>
      <c r="E601" s="137"/>
      <c r="F601" s="137"/>
      <c r="G601" s="137"/>
    </row>
    <row r="602" spans="1:7" ht="15">
      <c r="A602" s="137"/>
      <c r="B602" s="137"/>
      <c r="C602" s="137"/>
      <c r="D602" s="137"/>
      <c r="E602" s="137"/>
      <c r="F602" s="137"/>
      <c r="G602" s="137"/>
    </row>
    <row r="603" spans="1:7" ht="15">
      <c r="A603" s="137"/>
      <c r="B603" s="137"/>
      <c r="C603" s="137"/>
      <c r="D603" s="137"/>
      <c r="E603" s="137"/>
      <c r="F603" s="137"/>
      <c r="G603" s="137"/>
    </row>
    <row r="604" spans="1:7" ht="15">
      <c r="A604" s="137"/>
      <c r="B604" s="137"/>
      <c r="C604" s="137"/>
      <c r="D604" s="137"/>
      <c r="E604" s="137"/>
      <c r="F604" s="137"/>
      <c r="G604" s="137"/>
    </row>
    <row r="605" spans="1:7" ht="15">
      <c r="A605" s="137"/>
      <c r="B605" s="137"/>
      <c r="C605" s="137"/>
      <c r="D605" s="137"/>
      <c r="E605" s="137"/>
      <c r="F605" s="137"/>
      <c r="G605" s="137"/>
    </row>
    <row r="606" spans="1:7" ht="15">
      <c r="A606" s="137"/>
      <c r="B606" s="137"/>
      <c r="C606" s="137"/>
      <c r="D606" s="137"/>
      <c r="E606" s="137"/>
      <c r="F606" s="137"/>
      <c r="G606" s="137"/>
    </row>
    <row r="607" spans="1:7" ht="15">
      <c r="A607" s="137"/>
      <c r="B607" s="137"/>
      <c r="C607" s="137"/>
      <c r="D607" s="137"/>
      <c r="E607" s="137"/>
      <c r="F607" s="137"/>
      <c r="G607" s="137"/>
    </row>
    <row r="608" spans="1:7" ht="15">
      <c r="A608" s="137"/>
      <c r="B608" s="137"/>
      <c r="C608" s="137"/>
      <c r="D608" s="137"/>
      <c r="E608" s="137"/>
      <c r="F608" s="137"/>
      <c r="G608" s="137"/>
    </row>
    <row r="609" spans="1:7" ht="15">
      <c r="A609" s="137"/>
      <c r="B609" s="137"/>
      <c r="C609" s="137"/>
      <c r="D609" s="137"/>
      <c r="E609" s="137"/>
      <c r="F609" s="137"/>
      <c r="G609" s="137"/>
    </row>
    <row r="610" spans="1:7" ht="15">
      <c r="A610" s="137"/>
      <c r="B610" s="137"/>
      <c r="C610" s="137"/>
      <c r="D610" s="137"/>
      <c r="E610" s="137"/>
      <c r="F610" s="137"/>
      <c r="G610" s="137"/>
    </row>
    <row r="611" spans="1:7" ht="15">
      <c r="A611" s="137"/>
      <c r="B611" s="137"/>
      <c r="C611" s="137"/>
      <c r="D611" s="137"/>
      <c r="E611" s="137"/>
      <c r="F611" s="137"/>
      <c r="G611" s="137"/>
    </row>
    <row r="612" spans="1:7" ht="15">
      <c r="A612" s="137"/>
      <c r="B612" s="137"/>
      <c r="C612" s="137"/>
      <c r="D612" s="137"/>
      <c r="E612" s="137"/>
      <c r="F612" s="137"/>
      <c r="G612" s="137"/>
    </row>
    <row r="613" spans="1:7" ht="15">
      <c r="A613" s="137"/>
      <c r="B613" s="137"/>
      <c r="C613" s="137"/>
      <c r="D613" s="137"/>
      <c r="E613" s="137"/>
      <c r="F613" s="137"/>
      <c r="G613" s="137"/>
    </row>
    <row r="614" spans="1:7" ht="15">
      <c r="A614" s="137"/>
      <c r="B614" s="137"/>
      <c r="C614" s="137"/>
      <c r="D614" s="137"/>
      <c r="E614" s="137"/>
      <c r="F614" s="137"/>
      <c r="G614" s="137"/>
    </row>
    <row r="615" spans="1:7" ht="15">
      <c r="A615" s="137"/>
      <c r="B615" s="137"/>
      <c r="C615" s="137"/>
      <c r="D615" s="137"/>
      <c r="E615" s="137"/>
      <c r="F615" s="137"/>
      <c r="G615" s="137"/>
    </row>
    <row r="616" spans="1:7" ht="15">
      <c r="A616" s="137"/>
      <c r="B616" s="137"/>
      <c r="C616" s="137"/>
      <c r="D616" s="137"/>
      <c r="E616" s="137"/>
      <c r="F616" s="137"/>
      <c r="G616" s="137"/>
    </row>
    <row r="617" spans="1:7" ht="15">
      <c r="A617" s="137"/>
      <c r="B617" s="137"/>
      <c r="C617" s="137"/>
      <c r="D617" s="137"/>
      <c r="E617" s="137"/>
      <c r="F617" s="137"/>
      <c r="G617" s="137"/>
    </row>
    <row r="618" spans="1:7" ht="15">
      <c r="A618" s="137"/>
      <c r="B618" s="137"/>
      <c r="C618" s="137"/>
      <c r="D618" s="137"/>
      <c r="E618" s="137"/>
      <c r="F618" s="137"/>
      <c r="G618" s="137"/>
    </row>
    <row r="619" spans="1:7" ht="15">
      <c r="A619" s="137"/>
      <c r="B619" s="137"/>
      <c r="C619" s="137"/>
      <c r="D619" s="137"/>
      <c r="E619" s="137"/>
      <c r="F619" s="137"/>
      <c r="G619" s="137"/>
    </row>
    <row r="620" spans="1:7" ht="15">
      <c r="A620" s="137"/>
      <c r="B620" s="137"/>
      <c r="C620" s="137"/>
      <c r="D620" s="137"/>
      <c r="E620" s="137"/>
      <c r="F620" s="137"/>
      <c r="G620" s="137"/>
    </row>
    <row r="621" spans="1:7" ht="15">
      <c r="A621" s="137"/>
      <c r="B621" s="137"/>
      <c r="C621" s="137"/>
      <c r="D621" s="137"/>
      <c r="E621" s="137"/>
      <c r="F621" s="137"/>
      <c r="G621" s="137"/>
    </row>
    <row r="622" spans="1:7" ht="15">
      <c r="A622" s="137"/>
      <c r="B622" s="137"/>
      <c r="C622" s="137"/>
      <c r="D622" s="137"/>
      <c r="E622" s="137"/>
      <c r="F622" s="137"/>
      <c r="G622" s="137"/>
    </row>
    <row r="623" spans="1:7" ht="15">
      <c r="A623" s="137"/>
      <c r="B623" s="137"/>
      <c r="C623" s="137"/>
      <c r="D623" s="137"/>
      <c r="E623" s="137"/>
      <c r="F623" s="137"/>
      <c r="G623" s="137"/>
    </row>
    <row r="624" spans="1:7" ht="15">
      <c r="A624" s="137"/>
      <c r="B624" s="137"/>
      <c r="C624" s="137"/>
      <c r="D624" s="137"/>
      <c r="E624" s="137"/>
      <c r="F624" s="137"/>
      <c r="G624" s="137"/>
    </row>
    <row r="625" spans="1:7" ht="15">
      <c r="A625" s="137"/>
      <c r="B625" s="137"/>
      <c r="C625" s="137"/>
      <c r="D625" s="137"/>
      <c r="E625" s="137"/>
      <c r="F625" s="137"/>
      <c r="G625" s="137"/>
    </row>
    <row r="626" spans="1:7" ht="15">
      <c r="A626" s="137"/>
      <c r="B626" s="137"/>
      <c r="C626" s="137"/>
      <c r="D626" s="137"/>
      <c r="E626" s="137"/>
      <c r="F626" s="137"/>
      <c r="G626" s="137"/>
    </row>
    <row r="627" spans="1:7" ht="15">
      <c r="A627" s="137"/>
      <c r="B627" s="137"/>
      <c r="C627" s="137"/>
      <c r="D627" s="137"/>
      <c r="E627" s="137"/>
      <c r="F627" s="137"/>
      <c r="G627" s="137"/>
    </row>
    <row r="628" spans="1:7" ht="15">
      <c r="A628" s="137"/>
      <c r="B628" s="137"/>
      <c r="C628" s="137"/>
      <c r="D628" s="137"/>
      <c r="E628" s="137"/>
      <c r="F628" s="137"/>
      <c r="G628" s="137"/>
    </row>
    <row r="629" spans="1:7" ht="15">
      <c r="A629" s="137"/>
      <c r="B629" s="137"/>
      <c r="C629" s="137"/>
      <c r="D629" s="137"/>
      <c r="E629" s="137"/>
      <c r="F629" s="137"/>
      <c r="G629" s="137"/>
    </row>
    <row r="630" spans="1:7" ht="15">
      <c r="A630" s="137"/>
      <c r="B630" s="137"/>
      <c r="C630" s="137"/>
      <c r="D630" s="137"/>
      <c r="E630" s="137"/>
      <c r="F630" s="137"/>
      <c r="G630" s="137"/>
    </row>
    <row r="631" spans="1:7" ht="15">
      <c r="A631" s="137"/>
      <c r="B631" s="137"/>
      <c r="C631" s="137"/>
      <c r="D631" s="137"/>
      <c r="E631" s="137"/>
      <c r="F631" s="137"/>
      <c r="G631" s="137"/>
    </row>
    <row r="632" spans="1:7" ht="15">
      <c r="A632" s="137"/>
      <c r="B632" s="137"/>
      <c r="C632" s="137"/>
      <c r="D632" s="137"/>
      <c r="E632" s="137"/>
      <c r="F632" s="137"/>
      <c r="G632" s="137"/>
    </row>
    <row r="633" spans="1:7" ht="15">
      <c r="A633" s="137"/>
      <c r="B633" s="137"/>
      <c r="C633" s="137"/>
      <c r="D633" s="137"/>
      <c r="E633" s="137"/>
      <c r="F633" s="137"/>
      <c r="G633" s="137"/>
    </row>
    <row r="634" spans="1:7" ht="15">
      <c r="A634" s="137"/>
      <c r="B634" s="137"/>
      <c r="C634" s="137"/>
      <c r="D634" s="137"/>
      <c r="E634" s="137"/>
      <c r="F634" s="137"/>
      <c r="G634" s="137"/>
    </row>
    <row r="635" spans="1:7" ht="15">
      <c r="A635" s="137"/>
      <c r="B635" s="137"/>
      <c r="C635" s="137"/>
      <c r="D635" s="137"/>
      <c r="E635" s="137"/>
      <c r="F635" s="137"/>
      <c r="G635" s="137"/>
    </row>
    <row r="636" spans="1:7" ht="15">
      <c r="A636" s="137"/>
      <c r="B636" s="137"/>
      <c r="C636" s="137"/>
      <c r="D636" s="137"/>
      <c r="E636" s="137"/>
      <c r="F636" s="137"/>
      <c r="G636" s="137"/>
    </row>
    <row r="637" spans="1:7" ht="15">
      <c r="A637" s="137"/>
      <c r="B637" s="137"/>
      <c r="C637" s="137"/>
      <c r="D637" s="137"/>
      <c r="E637" s="137"/>
      <c r="F637" s="137"/>
      <c r="G637" s="137"/>
    </row>
    <row r="638" spans="1:7" ht="15">
      <c r="A638" s="137"/>
      <c r="B638" s="137"/>
      <c r="C638" s="137"/>
      <c r="D638" s="137"/>
      <c r="E638" s="137"/>
      <c r="F638" s="137"/>
      <c r="G638" s="137"/>
    </row>
    <row r="639" spans="1:7" ht="15">
      <c r="A639" s="137"/>
      <c r="B639" s="137"/>
      <c r="C639" s="137"/>
      <c r="D639" s="137"/>
      <c r="E639" s="137"/>
      <c r="F639" s="137"/>
      <c r="G639" s="137"/>
    </row>
    <row r="640" spans="1:7" ht="15">
      <c r="A640" s="137"/>
      <c r="B640" s="137"/>
      <c r="C640" s="137"/>
      <c r="D640" s="137"/>
      <c r="E640" s="137"/>
      <c r="F640" s="137"/>
      <c r="G640" s="137"/>
    </row>
    <row r="641" spans="1:7" ht="15">
      <c r="A641" s="137"/>
      <c r="B641" s="137"/>
      <c r="C641" s="137"/>
      <c r="D641" s="137"/>
      <c r="E641" s="137"/>
      <c r="F641" s="137"/>
      <c r="G641" s="137"/>
    </row>
    <row r="642" spans="1:7" ht="15">
      <c r="A642" s="137"/>
      <c r="B642" s="137"/>
      <c r="C642" s="137"/>
      <c r="D642" s="137"/>
      <c r="E642" s="137"/>
      <c r="F642" s="137"/>
      <c r="G642" s="137"/>
    </row>
    <row r="643" spans="1:7" ht="15">
      <c r="A643" s="137"/>
      <c r="B643" s="137"/>
      <c r="C643" s="137"/>
      <c r="D643" s="137"/>
      <c r="E643" s="137"/>
      <c r="F643" s="137"/>
      <c r="G643" s="137"/>
    </row>
    <row r="644" spans="1:7" ht="15">
      <c r="A644" s="137"/>
      <c r="B644" s="137"/>
      <c r="C644" s="137"/>
      <c r="D644" s="137"/>
      <c r="E644" s="137"/>
      <c r="F644" s="137"/>
      <c r="G644" s="137"/>
    </row>
    <row r="645" spans="1:7" ht="15">
      <c r="A645" s="137"/>
      <c r="B645" s="137"/>
      <c r="C645" s="137"/>
      <c r="D645" s="137"/>
      <c r="E645" s="137"/>
      <c r="F645" s="137"/>
      <c r="G645" s="137"/>
    </row>
    <row r="646" spans="1:7" ht="15">
      <c r="A646" s="137"/>
      <c r="B646" s="137"/>
      <c r="C646" s="137"/>
      <c r="D646" s="137"/>
      <c r="E646" s="137"/>
      <c r="F646" s="137"/>
      <c r="G646" s="137"/>
    </row>
  </sheetData>
  <mergeCells count="6">
    <mergeCell ref="B14:C14"/>
    <mergeCell ref="E10:G10"/>
    <mergeCell ref="B28:C28"/>
    <mergeCell ref="B26:C26"/>
    <mergeCell ref="B22:C22"/>
    <mergeCell ref="B21:C21"/>
  </mergeCells>
  <printOptions/>
  <pageMargins left="0.75" right="0.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Q93"/>
  <sheetViews>
    <sheetView view="pageBreakPreview" zoomScaleSheetLayoutView="100" workbookViewId="0" topLeftCell="A70">
      <selection activeCell="C45" sqref="C45"/>
    </sheetView>
  </sheetViews>
  <sheetFormatPr defaultColWidth="9.140625" defaultRowHeight="12.75"/>
  <cols>
    <col min="1" max="1" width="6.7109375" style="9" bestFit="1" customWidth="1"/>
    <col min="2" max="2" width="12.421875" style="9" customWidth="1"/>
    <col min="3" max="3" width="6.140625" style="9" customWidth="1"/>
    <col min="4" max="4" width="5.00390625" style="9" customWidth="1"/>
    <col min="5" max="5" width="1.7109375" style="9" customWidth="1"/>
    <col min="6" max="6" width="4.140625" style="9" customWidth="1"/>
    <col min="7" max="7" width="1.7109375" style="9" customWidth="1"/>
    <col min="8" max="8" width="11.28125" style="9" bestFit="1" customWidth="1"/>
    <col min="9" max="9" width="1.28515625" style="9" customWidth="1"/>
    <col min="10" max="10" width="10.8515625" style="20" bestFit="1" customWidth="1"/>
    <col min="11" max="11" width="1.28515625" style="9" customWidth="1"/>
    <col min="12" max="12" width="12.8515625" style="9" customWidth="1"/>
    <col min="13" max="13" width="1.7109375" style="9" customWidth="1"/>
    <col min="14" max="14" width="12.8515625" style="9" customWidth="1"/>
    <col min="15" max="15" width="18.00390625" style="14" customWidth="1"/>
    <col min="16" max="16" width="14.57421875" style="9" customWidth="1"/>
    <col min="17" max="17" width="7.8515625" style="9" customWidth="1"/>
    <col min="18" max="16384" width="7.57421875" style="9" customWidth="1"/>
  </cols>
  <sheetData>
    <row r="1" spans="1:14" ht="15">
      <c r="A1" s="201">
        <v>27.2</v>
      </c>
      <c r="B1" s="10" t="s">
        <v>155</v>
      </c>
      <c r="C1" s="31"/>
      <c r="D1" s="31"/>
      <c r="E1" s="31"/>
      <c r="F1" s="31"/>
      <c r="G1" s="31"/>
      <c r="H1" s="31"/>
      <c r="I1" s="31"/>
      <c r="J1" s="317"/>
      <c r="K1" s="31"/>
      <c r="L1" s="23">
        <v>2006</v>
      </c>
      <c r="N1" s="17">
        <v>2005</v>
      </c>
    </row>
    <row r="2" spans="2:14" ht="15">
      <c r="B2" s="31"/>
      <c r="C2" s="31"/>
      <c r="D2" s="31"/>
      <c r="E2" s="31"/>
      <c r="F2" s="31"/>
      <c r="G2" s="31"/>
      <c r="H2" s="31"/>
      <c r="I2" s="31"/>
      <c r="J2" s="317"/>
      <c r="K2" s="31"/>
      <c r="L2" s="562" t="s">
        <v>320</v>
      </c>
      <c r="M2" s="562"/>
      <c r="N2" s="562"/>
    </row>
    <row r="3" spans="2:14" ht="10.5" customHeight="1">
      <c r="B3" s="318"/>
      <c r="C3" s="318"/>
      <c r="D3" s="318"/>
      <c r="E3" s="318"/>
      <c r="F3" s="318"/>
      <c r="G3" s="318"/>
      <c r="H3" s="318"/>
      <c r="I3" s="318"/>
      <c r="L3" s="40"/>
      <c r="M3" s="23"/>
      <c r="N3" s="23"/>
    </row>
    <row r="4" spans="2:16" ht="15">
      <c r="B4" s="9" t="s">
        <v>377</v>
      </c>
      <c r="J4" s="319"/>
      <c r="L4" s="209">
        <f>N7</f>
        <v>1205895</v>
      </c>
      <c r="M4" s="95"/>
      <c r="N4" s="231">
        <v>1124308</v>
      </c>
      <c r="P4" s="138"/>
    </row>
    <row r="5" spans="2:16" ht="15">
      <c r="B5" s="9" t="s">
        <v>885</v>
      </c>
      <c r="J5" s="319"/>
      <c r="L5" s="209">
        <v>0</v>
      </c>
      <c r="M5" s="95"/>
      <c r="N5" s="231">
        <v>110400</v>
      </c>
      <c r="P5" s="138"/>
    </row>
    <row r="6" spans="2:16" ht="15">
      <c r="B6" s="9" t="s">
        <v>156</v>
      </c>
      <c r="J6" s="319"/>
      <c r="L6" s="209">
        <v>-49110</v>
      </c>
      <c r="M6" s="95"/>
      <c r="N6" s="231">
        <v>-28813</v>
      </c>
      <c r="P6" s="138"/>
    </row>
    <row r="7" spans="2:16" ht="15.75" thickBot="1">
      <c r="B7" s="9" t="s">
        <v>387</v>
      </c>
      <c r="J7" s="319"/>
      <c r="L7" s="213">
        <f>+L6+L4+L5</f>
        <v>1156785</v>
      </c>
      <c r="M7" s="95"/>
      <c r="N7" s="434">
        <f>SUM(N4:N6)</f>
        <v>1205895</v>
      </c>
      <c r="P7" s="138"/>
    </row>
    <row r="8" spans="10:16" ht="10.5" customHeight="1" thickTop="1">
      <c r="J8" s="319"/>
      <c r="L8" s="90"/>
      <c r="M8" s="14"/>
      <c r="N8" s="48"/>
      <c r="P8" s="138"/>
    </row>
    <row r="9" spans="5:16" ht="14.25" customHeight="1">
      <c r="E9" s="23"/>
      <c r="H9" s="40" t="s">
        <v>224</v>
      </c>
      <c r="I9" s="10"/>
      <c r="J9" s="90" t="s">
        <v>484</v>
      </c>
      <c r="L9" s="23" t="s">
        <v>189</v>
      </c>
      <c r="M9" s="10"/>
      <c r="N9" s="23" t="s">
        <v>379</v>
      </c>
      <c r="P9" s="138"/>
    </row>
    <row r="10" spans="2:16" ht="15">
      <c r="B10" s="14"/>
      <c r="E10" s="23"/>
      <c r="H10" s="40" t="s">
        <v>225</v>
      </c>
      <c r="I10" s="10"/>
      <c r="J10" s="90" t="s">
        <v>485</v>
      </c>
      <c r="L10" s="23" t="s">
        <v>264</v>
      </c>
      <c r="M10" s="10"/>
      <c r="N10" s="10"/>
      <c r="P10" s="138"/>
    </row>
    <row r="11" spans="2:16" ht="15">
      <c r="B11" s="14"/>
      <c r="E11" s="23"/>
      <c r="H11" s="584" t="s">
        <v>205</v>
      </c>
      <c r="I11" s="584"/>
      <c r="J11" s="584"/>
      <c r="K11" s="584"/>
      <c r="L11" s="584"/>
      <c r="M11" s="584"/>
      <c r="N11" s="584"/>
      <c r="P11" s="138"/>
    </row>
    <row r="12" spans="2:16" ht="10.5" customHeight="1">
      <c r="B12" s="46"/>
      <c r="E12" s="23"/>
      <c r="H12" s="40"/>
      <c r="I12" s="10"/>
      <c r="J12" s="90"/>
      <c r="L12" s="23"/>
      <c r="M12" s="10"/>
      <c r="N12" s="10"/>
      <c r="P12" s="138"/>
    </row>
    <row r="13" spans="2:16" ht="15">
      <c r="B13" s="9" t="s">
        <v>377</v>
      </c>
      <c r="E13" s="14"/>
      <c r="H13" s="27">
        <v>260363</v>
      </c>
      <c r="I13" s="27"/>
      <c r="J13" s="26">
        <v>203476</v>
      </c>
      <c r="K13" s="24"/>
      <c r="L13" s="27">
        <v>742056</v>
      </c>
      <c r="M13" s="24"/>
      <c r="N13" s="237">
        <f>SUM(H13:L13)</f>
        <v>1205895</v>
      </c>
      <c r="P13" s="138"/>
    </row>
    <row r="14" spans="2:16" ht="15">
      <c r="B14" s="9" t="s">
        <v>156</v>
      </c>
      <c r="E14" s="14"/>
      <c r="H14" s="27">
        <v>0</v>
      </c>
      <c r="I14" s="27"/>
      <c r="J14" s="53">
        <v>-49110</v>
      </c>
      <c r="K14" s="24"/>
      <c r="L14" s="27">
        <v>0</v>
      </c>
      <c r="M14" s="24"/>
      <c r="N14" s="237">
        <f>SUM(H14:L14)</f>
        <v>-49110</v>
      </c>
      <c r="P14" s="138"/>
    </row>
    <row r="15" spans="2:16" ht="15.75" thickBot="1">
      <c r="B15" s="9" t="s">
        <v>387</v>
      </c>
      <c r="E15" s="14"/>
      <c r="H15" s="522">
        <f>SUM(H13:H14)</f>
        <v>260363</v>
      </c>
      <c r="I15" s="27"/>
      <c r="J15" s="522">
        <f>SUM(J13:J14)</f>
        <v>154366</v>
      </c>
      <c r="K15" s="24"/>
      <c r="L15" s="522">
        <f>SUM(L13:L14)</f>
        <v>742056</v>
      </c>
      <c r="M15" s="24"/>
      <c r="N15" s="523">
        <f>SUM(N13:N14)</f>
        <v>1156785</v>
      </c>
      <c r="P15" s="138"/>
    </row>
    <row r="16" spans="5:16" ht="10.5" customHeight="1" thickTop="1">
      <c r="E16" s="14"/>
      <c r="H16" s="15"/>
      <c r="I16" s="14"/>
      <c r="J16" s="15"/>
      <c r="N16" s="125"/>
      <c r="P16" s="138"/>
    </row>
    <row r="17" spans="1:16" ht="15">
      <c r="A17" s="10" t="s">
        <v>605</v>
      </c>
      <c r="B17" s="9" t="s">
        <v>435</v>
      </c>
      <c r="E17" s="14"/>
      <c r="H17" s="15"/>
      <c r="I17" s="14"/>
      <c r="J17" s="15"/>
      <c r="K17" s="14"/>
      <c r="L17" s="15"/>
      <c r="N17" s="125"/>
      <c r="P17" s="138"/>
    </row>
    <row r="18" spans="10:16" ht="10.5" customHeight="1">
      <c r="J18" s="9"/>
      <c r="L18" s="319"/>
      <c r="M18" s="14"/>
      <c r="N18" s="48"/>
      <c r="P18" s="138"/>
    </row>
    <row r="19" spans="1:14" ht="15">
      <c r="A19" s="105" t="s">
        <v>90</v>
      </c>
      <c r="B19" s="10" t="s">
        <v>680</v>
      </c>
      <c r="C19" s="10"/>
      <c r="D19" s="137"/>
      <c r="E19" s="137"/>
      <c r="F19" s="137"/>
      <c r="G19" s="137"/>
      <c r="H19" s="137"/>
      <c r="I19" s="137"/>
      <c r="L19" s="23">
        <v>2006</v>
      </c>
      <c r="N19" s="17">
        <v>2005</v>
      </c>
    </row>
    <row r="20" spans="1:14" ht="15">
      <c r="A20" s="105"/>
      <c r="B20" s="10" t="s">
        <v>719</v>
      </c>
      <c r="C20" s="10"/>
      <c r="D20" s="137"/>
      <c r="E20" s="137"/>
      <c r="F20" s="137"/>
      <c r="G20" s="137"/>
      <c r="H20" s="137"/>
      <c r="I20" s="137"/>
      <c r="L20" s="562" t="s">
        <v>320</v>
      </c>
      <c r="M20" s="562"/>
      <c r="N20" s="562"/>
    </row>
    <row r="21" spans="2:12" ht="10.5" customHeight="1">
      <c r="B21" s="137"/>
      <c r="C21" s="137"/>
      <c r="D21" s="137"/>
      <c r="E21" s="137"/>
      <c r="F21" s="137"/>
      <c r="G21" s="137"/>
      <c r="H21" s="137"/>
      <c r="I21" s="137"/>
      <c r="L21" s="54"/>
    </row>
    <row r="22" spans="2:17" ht="15">
      <c r="B22" s="137" t="s">
        <v>746</v>
      </c>
      <c r="C22" s="137"/>
      <c r="D22" s="137"/>
      <c r="L22" s="206">
        <v>80285</v>
      </c>
      <c r="M22" s="95"/>
      <c r="N22" s="95">
        <v>86471</v>
      </c>
      <c r="Q22" s="158"/>
    </row>
    <row r="23" spans="2:17" ht="15">
      <c r="B23" s="137" t="s">
        <v>747</v>
      </c>
      <c r="C23" s="137"/>
      <c r="D23" s="137"/>
      <c r="L23" s="206">
        <v>8057753</v>
      </c>
      <c r="M23" s="95"/>
      <c r="N23" s="95">
        <v>7397000</v>
      </c>
      <c r="Q23" s="158"/>
    </row>
    <row r="24" spans="2:17" ht="15">
      <c r="B24" s="137" t="s">
        <v>82</v>
      </c>
      <c r="C24" s="137"/>
      <c r="D24" s="137"/>
      <c r="L24" s="206">
        <v>958767</v>
      </c>
      <c r="M24" s="95"/>
      <c r="N24" s="95">
        <v>866000</v>
      </c>
      <c r="Q24" s="158"/>
    </row>
    <row r="25" spans="2:17" ht="15">
      <c r="B25" s="137" t="s">
        <v>748</v>
      </c>
      <c r="C25" s="137"/>
      <c r="D25" s="137"/>
      <c r="L25" s="232">
        <v>712824</v>
      </c>
      <c r="M25" s="95"/>
      <c r="N25" s="432">
        <v>441000</v>
      </c>
      <c r="Q25" s="158"/>
    </row>
    <row r="26" spans="2:17" ht="15">
      <c r="B26" s="137"/>
      <c r="C26" s="137"/>
      <c r="D26" s="137"/>
      <c r="J26" s="20" t="s">
        <v>115</v>
      </c>
      <c r="L26" s="206">
        <f>SUM(L22:L25)</f>
        <v>9809629</v>
      </c>
      <c r="M26" s="95"/>
      <c r="N26" s="214">
        <f>SUM(N22:N25)</f>
        <v>8790471</v>
      </c>
      <c r="Q26" s="158"/>
    </row>
    <row r="27" spans="2:17" ht="15">
      <c r="B27" s="137" t="s">
        <v>81</v>
      </c>
      <c r="C27" s="137"/>
      <c r="D27" s="137"/>
      <c r="L27" s="206">
        <v>1003360.65418</v>
      </c>
      <c r="M27" s="95"/>
      <c r="N27" s="95">
        <v>989488</v>
      </c>
      <c r="Q27" s="158"/>
    </row>
    <row r="28" spans="2:14" ht="15.75" thickBot="1">
      <c r="B28" s="137"/>
      <c r="C28" s="137"/>
      <c r="D28" s="137"/>
      <c r="L28" s="520">
        <f>L26+L27</f>
        <v>10812989.65418</v>
      </c>
      <c r="M28" s="137"/>
      <c r="N28" s="521">
        <f>N26+N27</f>
        <v>9779959</v>
      </c>
    </row>
    <row r="29" spans="2:14" ht="10.5" customHeight="1" thickTop="1">
      <c r="B29" s="137"/>
      <c r="C29" s="137"/>
      <c r="D29" s="137"/>
      <c r="L29" s="29"/>
      <c r="M29" s="17"/>
      <c r="N29" s="29"/>
    </row>
    <row r="30" spans="1:14" ht="15">
      <c r="A30" s="105" t="s">
        <v>859</v>
      </c>
      <c r="B30" s="10" t="s">
        <v>863</v>
      </c>
      <c r="C30" s="10"/>
      <c r="J30" s="17"/>
      <c r="L30" s="23"/>
      <c r="N30" s="17"/>
    </row>
    <row r="31" spans="2:14" ht="15">
      <c r="B31" s="9" t="s">
        <v>377</v>
      </c>
      <c r="J31" s="36"/>
      <c r="L31" s="107">
        <f>N34</f>
        <v>414061</v>
      </c>
      <c r="M31" s="59"/>
      <c r="N31" s="59">
        <v>286195</v>
      </c>
    </row>
    <row r="32" spans="2:14" ht="15">
      <c r="B32" s="9" t="s">
        <v>826</v>
      </c>
      <c r="J32" s="36"/>
      <c r="L32" s="218">
        <v>148244</v>
      </c>
      <c r="M32" s="109"/>
      <c r="N32" s="109">
        <v>220402</v>
      </c>
    </row>
    <row r="33" spans="2:14" ht="15">
      <c r="B33" s="9" t="s">
        <v>367</v>
      </c>
      <c r="J33" s="20">
        <v>43</v>
      </c>
      <c r="L33" s="107">
        <v>-135697</v>
      </c>
      <c r="M33" s="59"/>
      <c r="N33" s="59">
        <v>-92536</v>
      </c>
    </row>
    <row r="34" spans="2:14" ht="15.75" thickBot="1">
      <c r="B34" s="9" t="s">
        <v>387</v>
      </c>
      <c r="J34" s="17"/>
      <c r="L34" s="161">
        <f>SUM(L31:L33)</f>
        <v>426608</v>
      </c>
      <c r="M34" s="59"/>
      <c r="N34" s="159">
        <f>SUM(N31:N33)</f>
        <v>414061</v>
      </c>
    </row>
    <row r="35" spans="12:14" ht="10.5" customHeight="1" thickTop="1">
      <c r="L35" s="59"/>
      <c r="M35" s="59"/>
      <c r="N35" s="59"/>
    </row>
    <row r="36" spans="2:14" ht="15">
      <c r="B36" s="302" t="s">
        <v>265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</row>
    <row r="37" spans="2:14" ht="15">
      <c r="B37" s="302" t="s">
        <v>550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</row>
    <row r="38" spans="2:14" ht="15"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</row>
    <row r="39" spans="1:14" ht="15">
      <c r="A39" s="105" t="s">
        <v>636</v>
      </c>
      <c r="B39" s="10" t="s">
        <v>777</v>
      </c>
      <c r="L39" s="23">
        <v>2006</v>
      </c>
      <c r="N39" s="17">
        <v>2005</v>
      </c>
    </row>
    <row r="40" spans="1:14" ht="15">
      <c r="A40" s="105"/>
      <c r="B40" s="10"/>
      <c r="L40" s="562" t="s">
        <v>320</v>
      </c>
      <c r="M40" s="562"/>
      <c r="N40" s="562"/>
    </row>
    <row r="41" ht="15">
      <c r="B41" s="583" t="s">
        <v>86</v>
      </c>
    </row>
    <row r="42" ht="15">
      <c r="B42" s="583"/>
    </row>
    <row r="43" ht="15">
      <c r="C43" s="139" t="s">
        <v>609</v>
      </c>
    </row>
    <row r="44" ht="10.5" customHeight="1">
      <c r="C44" s="86"/>
    </row>
    <row r="45" spans="2:14" ht="15.75" thickBot="1">
      <c r="B45" s="518">
        <v>1000000</v>
      </c>
      <c r="C45" s="9" t="s">
        <v>210</v>
      </c>
      <c r="L45" s="515">
        <v>100000</v>
      </c>
      <c r="M45" s="95"/>
      <c r="N45" s="516">
        <v>100000</v>
      </c>
    </row>
    <row r="46" spans="2:14" ht="10.5" customHeight="1" thickTop="1">
      <c r="B46" s="519"/>
      <c r="C46" s="160"/>
      <c r="L46" s="513"/>
      <c r="M46" s="95"/>
      <c r="N46" s="95"/>
    </row>
    <row r="47" spans="2:14" ht="15">
      <c r="B47" s="519"/>
      <c r="C47" s="10" t="s">
        <v>611</v>
      </c>
      <c r="L47" s="513"/>
      <c r="M47" s="95"/>
      <c r="N47" s="95"/>
    </row>
    <row r="48" spans="2:14" ht="10.5" customHeight="1">
      <c r="B48" s="519"/>
      <c r="C48" s="10"/>
      <c r="L48" s="513"/>
      <c r="M48" s="95"/>
      <c r="N48" s="95"/>
    </row>
    <row r="49" spans="2:14" ht="15.75" thickBot="1">
      <c r="B49" s="517">
        <v>1000000</v>
      </c>
      <c r="C49" s="9" t="s">
        <v>211</v>
      </c>
      <c r="L49" s="515">
        <v>100000</v>
      </c>
      <c r="M49" s="95"/>
      <c r="N49" s="516">
        <v>100000</v>
      </c>
    </row>
    <row r="50" ht="10.5" customHeight="1" thickTop="1"/>
    <row r="51" ht="15">
      <c r="B51" s="104" t="s">
        <v>697</v>
      </c>
    </row>
    <row r="52" ht="15">
      <c r="B52" s="104" t="s">
        <v>552</v>
      </c>
    </row>
    <row r="53" ht="15">
      <c r="B53" s="104" t="s">
        <v>553</v>
      </c>
    </row>
    <row r="54" ht="15">
      <c r="B54" s="104"/>
    </row>
    <row r="55" spans="1:2" ht="15">
      <c r="A55" s="105" t="s">
        <v>637</v>
      </c>
      <c r="B55" s="10" t="s">
        <v>501</v>
      </c>
    </row>
    <row r="56" ht="15">
      <c r="B56" s="104"/>
    </row>
    <row r="57" ht="15">
      <c r="B57" s="2" t="s">
        <v>794</v>
      </c>
    </row>
    <row r="58" ht="15">
      <c r="B58" s="2" t="s">
        <v>795</v>
      </c>
    </row>
    <row r="59" ht="15">
      <c r="B59" s="2" t="s">
        <v>796</v>
      </c>
    </row>
    <row r="60" ht="15">
      <c r="B60" s="2" t="s">
        <v>797</v>
      </c>
    </row>
    <row r="61" ht="15">
      <c r="B61" s="2" t="s">
        <v>783</v>
      </c>
    </row>
    <row r="62" ht="15">
      <c r="B62" s="104" t="s">
        <v>784</v>
      </c>
    </row>
    <row r="63" ht="15">
      <c r="B63" s="104"/>
    </row>
    <row r="64" spans="1:2" ht="15">
      <c r="A64" s="105" t="s">
        <v>638</v>
      </c>
      <c r="B64" s="10" t="s">
        <v>778</v>
      </c>
    </row>
    <row r="66" spans="1:2" ht="15">
      <c r="A66" s="105" t="s">
        <v>499</v>
      </c>
      <c r="B66" s="105" t="s">
        <v>374</v>
      </c>
    </row>
    <row r="67" spans="1:2" ht="15">
      <c r="A67" s="2"/>
      <c r="B67" s="2"/>
    </row>
    <row r="68" spans="1:2" ht="15">
      <c r="A68" s="2"/>
      <c r="B68" s="2" t="s">
        <v>738</v>
      </c>
    </row>
    <row r="69" spans="1:2" ht="15">
      <c r="A69" s="2"/>
      <c r="B69" s="2" t="s">
        <v>739</v>
      </c>
    </row>
    <row r="70" spans="1:2" ht="15">
      <c r="A70" s="2"/>
      <c r="B70" s="2" t="s">
        <v>740</v>
      </c>
    </row>
    <row r="72" spans="1:2" ht="15">
      <c r="A72" s="105" t="s">
        <v>500</v>
      </c>
      <c r="B72" s="10" t="s">
        <v>88</v>
      </c>
    </row>
    <row r="73" spans="1:2" ht="15">
      <c r="A73" s="2"/>
      <c r="B73" s="2"/>
    </row>
    <row r="74" spans="1:2" ht="15">
      <c r="A74" s="2"/>
      <c r="B74" s="2" t="s">
        <v>736</v>
      </c>
    </row>
    <row r="75" spans="1:2" ht="15">
      <c r="A75" s="2"/>
      <c r="B75" s="2" t="s">
        <v>737</v>
      </c>
    </row>
    <row r="77" spans="1:7" ht="15">
      <c r="A77" s="105" t="s">
        <v>639</v>
      </c>
      <c r="B77" s="10" t="s">
        <v>25</v>
      </c>
      <c r="C77" s="65"/>
      <c r="D77" s="17"/>
      <c r="E77" s="17"/>
      <c r="F77" s="17"/>
      <c r="G77" s="17"/>
    </row>
    <row r="78" spans="1:7" ht="15">
      <c r="A78" s="65"/>
      <c r="B78" s="144" t="s">
        <v>26</v>
      </c>
      <c r="C78" s="65"/>
      <c r="D78" s="17"/>
      <c r="E78" s="17"/>
      <c r="F78" s="17"/>
      <c r="G78" s="17"/>
    </row>
    <row r="79" spans="3:7" ht="15">
      <c r="C79" s="105"/>
      <c r="D79" s="37"/>
      <c r="E79" s="36"/>
      <c r="F79" s="36"/>
      <c r="G79" s="36"/>
    </row>
    <row r="80" spans="2:14" ht="15">
      <c r="B80" s="9" t="s">
        <v>377</v>
      </c>
      <c r="G80" s="17"/>
      <c r="L80" s="206">
        <v>51646593</v>
      </c>
      <c r="M80" s="214"/>
      <c r="N80" s="214">
        <v>45205621</v>
      </c>
    </row>
    <row r="81" spans="2:14" ht="15" customHeight="1">
      <c r="B81" s="565" t="s">
        <v>887</v>
      </c>
      <c r="C81" s="565"/>
      <c r="D81" s="565"/>
      <c r="E81" s="565"/>
      <c r="F81" s="565"/>
      <c r="G81" s="565"/>
      <c r="H81" s="565"/>
      <c r="I81" s="565"/>
      <c r="L81" s="439"/>
      <c r="M81" s="214"/>
      <c r="N81" s="322"/>
    </row>
    <row r="82" spans="2:14" ht="15">
      <c r="B82" s="28" t="s">
        <v>812</v>
      </c>
      <c r="D82" s="28"/>
      <c r="G82" s="33"/>
      <c r="J82" s="119">
        <v>5</v>
      </c>
      <c r="L82" s="210">
        <v>22396096</v>
      </c>
      <c r="M82" s="214"/>
      <c r="N82" s="280">
        <v>6337889</v>
      </c>
    </row>
    <row r="83" spans="2:14" ht="15">
      <c r="B83" s="28" t="s">
        <v>813</v>
      </c>
      <c r="D83" s="28"/>
      <c r="G83" s="33"/>
      <c r="J83" s="119">
        <v>14</v>
      </c>
      <c r="L83" s="212">
        <v>364223</v>
      </c>
      <c r="M83" s="214"/>
      <c r="N83" s="281">
        <v>103083</v>
      </c>
    </row>
    <row r="84" spans="12:14" ht="15">
      <c r="L84" s="206">
        <f>SUM(L82:L83)</f>
        <v>22760319</v>
      </c>
      <c r="M84" s="214"/>
      <c r="N84" s="214">
        <f>SUM(N82:N83)</f>
        <v>6440972</v>
      </c>
    </row>
    <row r="85" spans="12:14" ht="15.75" thickBot="1">
      <c r="L85" s="213">
        <f>L84+L80</f>
        <v>74406912</v>
      </c>
      <c r="M85" s="214"/>
      <c r="N85" s="236">
        <f>N80+N84</f>
        <v>51646593</v>
      </c>
    </row>
    <row r="86" ht="15.75" thickTop="1"/>
    <row r="87" ht="15">
      <c r="B87" s="104" t="s">
        <v>27</v>
      </c>
    </row>
    <row r="88" ht="15">
      <c r="B88" s="174" t="s">
        <v>28</v>
      </c>
    </row>
    <row r="93" spans="12:14" ht="15">
      <c r="L93" s="109"/>
      <c r="M93" s="109"/>
      <c r="N93" s="109"/>
    </row>
  </sheetData>
  <mergeCells count="6">
    <mergeCell ref="B81:I81"/>
    <mergeCell ref="L2:N2"/>
    <mergeCell ref="L20:N20"/>
    <mergeCell ref="B41:B42"/>
    <mergeCell ref="H11:N11"/>
    <mergeCell ref="L40:N40"/>
  </mergeCells>
  <printOptions/>
  <pageMargins left="0.75" right="0.5" top="1" bottom="0.5" header="0.5" footer="0.5"/>
  <pageSetup fitToHeight="2" horizontalDpi="600" verticalDpi="600" orientation="portrait" paperSize="9" r:id="rId1"/>
  <rowBreaks count="1" manualBreakCount="1">
    <brk id="50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O47"/>
  <sheetViews>
    <sheetView view="pageBreakPreview" zoomScaleSheetLayoutView="100" workbookViewId="0" topLeftCell="A1">
      <selection activeCell="D12" sqref="D12"/>
    </sheetView>
  </sheetViews>
  <sheetFormatPr defaultColWidth="9.140625" defaultRowHeight="15" customHeight="1"/>
  <cols>
    <col min="1" max="1" width="6.140625" style="9" customWidth="1"/>
    <col min="2" max="3" width="4.00390625" style="9" customWidth="1"/>
    <col min="4" max="4" width="16.421875" style="9" customWidth="1"/>
    <col min="5" max="5" width="16.00390625" style="9" customWidth="1"/>
    <col min="6" max="6" width="0.42578125" style="9" customWidth="1"/>
    <col min="7" max="7" width="4.57421875" style="9" customWidth="1"/>
    <col min="8" max="8" width="1.1484375" style="9" hidden="1" customWidth="1"/>
    <col min="9" max="9" width="0.9921875" style="9" hidden="1" customWidth="1"/>
    <col min="10" max="10" width="3.28125" style="9" customWidth="1"/>
    <col min="11" max="11" width="7.57421875" style="9" customWidth="1"/>
    <col min="12" max="12" width="0.5625" style="9" customWidth="1"/>
    <col min="13" max="13" width="14.00390625" style="9" bestFit="1" customWidth="1"/>
    <col min="14" max="14" width="1.7109375" style="9" customWidth="1"/>
    <col min="15" max="15" width="16.140625" style="9" customWidth="1"/>
    <col min="16" max="16" width="7.57421875" style="9" customWidth="1"/>
    <col min="17" max="17" width="15.140625" style="9" customWidth="1"/>
    <col min="18" max="18" width="36.8515625" style="9" customWidth="1"/>
    <col min="19" max="16384" width="7.57421875" style="9" customWidth="1"/>
  </cols>
  <sheetData>
    <row r="1" spans="1:15" ht="15" customHeight="1">
      <c r="A1" s="173" t="s">
        <v>266</v>
      </c>
      <c r="B1" s="67" t="s">
        <v>785</v>
      </c>
      <c r="C1" s="2"/>
      <c r="D1" s="2"/>
      <c r="M1" s="23">
        <v>2006</v>
      </c>
      <c r="O1" s="17">
        <v>2005</v>
      </c>
    </row>
    <row r="2" spans="1:15" ht="15" customHeight="1">
      <c r="A2" s="2"/>
      <c r="B2" s="2"/>
      <c r="C2" s="2"/>
      <c r="D2" s="2"/>
      <c r="M2" s="562" t="s">
        <v>320</v>
      </c>
      <c r="N2" s="562"/>
      <c r="O2" s="562"/>
    </row>
    <row r="3" spans="1:4" ht="15" customHeight="1">
      <c r="A3" s="173" t="s">
        <v>110</v>
      </c>
      <c r="B3" s="67" t="s">
        <v>91</v>
      </c>
      <c r="C3" s="2"/>
      <c r="D3" s="2"/>
    </row>
    <row r="4" spans="1:4" ht="15" customHeight="1">
      <c r="A4" s="2"/>
      <c r="B4" s="2" t="s">
        <v>101</v>
      </c>
      <c r="C4" s="2" t="s">
        <v>615</v>
      </c>
      <c r="D4" s="2"/>
    </row>
    <row r="5" spans="1:15" ht="15" customHeight="1">
      <c r="A5" s="2"/>
      <c r="B5" s="2"/>
      <c r="C5" s="2" t="s">
        <v>99</v>
      </c>
      <c r="D5" s="2" t="s">
        <v>92</v>
      </c>
      <c r="M5" s="261">
        <v>43746786.67082</v>
      </c>
      <c r="N5" s="440"/>
      <c r="O5" s="440">
        <v>23406428</v>
      </c>
    </row>
    <row r="6" spans="1:15" ht="15" customHeight="1">
      <c r="A6" s="2"/>
      <c r="B6" s="2"/>
      <c r="C6" s="2" t="s">
        <v>100</v>
      </c>
      <c r="D6" s="2" t="s">
        <v>198</v>
      </c>
      <c r="M6" s="261">
        <v>44021426.7942</v>
      </c>
      <c r="N6" s="440"/>
      <c r="O6" s="442">
        <v>104019357</v>
      </c>
    </row>
    <row r="7" spans="13:15" ht="15" customHeight="1" thickBot="1">
      <c r="M7" s="274">
        <f>SUM(M5:M6)+1</f>
        <v>87768214.46502</v>
      </c>
      <c r="N7" s="440"/>
      <c r="O7" s="443">
        <f>SUM(O5:O6)</f>
        <v>127425785</v>
      </c>
    </row>
    <row r="8" ht="10.5" customHeight="1" thickTop="1"/>
    <row r="9" ht="15" customHeight="1">
      <c r="B9" s="9" t="s">
        <v>302</v>
      </c>
    </row>
    <row r="10" ht="15" customHeight="1">
      <c r="B10" s="9" t="s">
        <v>303</v>
      </c>
    </row>
    <row r="11" ht="10.5" customHeight="1"/>
    <row r="12" spans="2:3" ht="15" customHeight="1">
      <c r="B12" s="174" t="s">
        <v>102</v>
      </c>
      <c r="C12" s="9" t="s">
        <v>290</v>
      </c>
    </row>
    <row r="13" ht="15" customHeight="1">
      <c r="C13" s="9" t="s">
        <v>291</v>
      </c>
    </row>
    <row r="14" ht="15" customHeight="1">
      <c r="C14" s="9" t="s">
        <v>292</v>
      </c>
    </row>
    <row r="15" ht="15" customHeight="1">
      <c r="C15" s="9" t="s">
        <v>293</v>
      </c>
    </row>
    <row r="16" ht="15" customHeight="1">
      <c r="C16" s="9" t="s">
        <v>294</v>
      </c>
    </row>
    <row r="17" ht="15" customHeight="1">
      <c r="C17" s="9" t="s">
        <v>295</v>
      </c>
    </row>
    <row r="18" ht="15" customHeight="1">
      <c r="C18" s="9" t="s">
        <v>296</v>
      </c>
    </row>
    <row r="19" ht="15" customHeight="1">
      <c r="C19" s="9" t="s">
        <v>301</v>
      </c>
    </row>
    <row r="20" ht="15" customHeight="1">
      <c r="C20" s="9" t="s">
        <v>755</v>
      </c>
    </row>
    <row r="21" ht="10.5" customHeight="1"/>
    <row r="22" spans="2:3" ht="15" customHeight="1">
      <c r="B22" s="9" t="s">
        <v>934</v>
      </c>
      <c r="C22" s="2" t="s">
        <v>492</v>
      </c>
    </row>
    <row r="23" ht="15" customHeight="1">
      <c r="C23" s="9" t="s">
        <v>493</v>
      </c>
    </row>
    <row r="24" ht="15" customHeight="1">
      <c r="C24" s="9" t="s">
        <v>494</v>
      </c>
    </row>
    <row r="25" ht="15" customHeight="1">
      <c r="C25" s="2" t="s">
        <v>311</v>
      </c>
    </row>
    <row r="26" ht="10.5" customHeight="1">
      <c r="C26" s="2"/>
    </row>
    <row r="27" spans="2:15" ht="15" customHeight="1" thickBot="1">
      <c r="B27" s="2" t="s">
        <v>647</v>
      </c>
      <c r="C27" s="2" t="s">
        <v>372</v>
      </c>
      <c r="M27" s="263">
        <v>685603</v>
      </c>
      <c r="N27" s="440"/>
      <c r="O27" s="524">
        <v>685603</v>
      </c>
    </row>
    <row r="28" spans="13:15" ht="10.5" customHeight="1" thickTop="1">
      <c r="M28" s="137"/>
      <c r="N28" s="137"/>
      <c r="O28" s="137"/>
    </row>
    <row r="29" spans="1:15" ht="15" customHeight="1">
      <c r="A29" s="105" t="s">
        <v>111</v>
      </c>
      <c r="B29" s="10" t="s">
        <v>96</v>
      </c>
      <c r="C29" s="184"/>
      <c r="D29" s="184"/>
      <c r="M29" s="137"/>
      <c r="N29" s="137"/>
      <c r="O29" s="137"/>
    </row>
    <row r="30" spans="2:15" ht="15" customHeight="1">
      <c r="B30" s="9" t="s">
        <v>321</v>
      </c>
      <c r="M30" s="206">
        <v>9819847</v>
      </c>
      <c r="N30" s="231"/>
      <c r="O30" s="214">
        <v>78643672</v>
      </c>
    </row>
    <row r="31" spans="2:15" ht="15" customHeight="1">
      <c r="B31" s="9" t="s">
        <v>510</v>
      </c>
      <c r="M31" s="209">
        <v>18682725</v>
      </c>
      <c r="N31" s="231"/>
      <c r="O31" s="231">
        <v>58229197</v>
      </c>
    </row>
    <row r="32" spans="2:15" ht="15" customHeight="1">
      <c r="B32" s="9" t="s">
        <v>619</v>
      </c>
      <c r="M32" s="206">
        <v>0</v>
      </c>
      <c r="N32" s="231"/>
      <c r="O32" s="214">
        <v>1258632</v>
      </c>
    </row>
    <row r="33" spans="2:15" ht="15" customHeight="1">
      <c r="B33" s="9" t="s">
        <v>566</v>
      </c>
      <c r="C33" s="318"/>
      <c r="M33" s="206">
        <v>240749445</v>
      </c>
      <c r="N33" s="214"/>
      <c r="O33" s="214">
        <v>81205385</v>
      </c>
    </row>
    <row r="34" spans="2:15" ht="15" customHeight="1">
      <c r="B34" s="9" t="s">
        <v>50</v>
      </c>
      <c r="C34" s="318"/>
      <c r="M34" s="206">
        <v>118929</v>
      </c>
      <c r="N34" s="214"/>
      <c r="O34" s="214">
        <v>173528</v>
      </c>
    </row>
    <row r="35" spans="13:15" ht="10.5" customHeight="1">
      <c r="M35" s="137"/>
      <c r="N35" s="137"/>
      <c r="O35" s="137"/>
    </row>
    <row r="36" spans="1:15" ht="15" customHeight="1">
      <c r="A36" s="162" t="s">
        <v>640</v>
      </c>
      <c r="B36" s="10" t="s">
        <v>546</v>
      </c>
      <c r="C36" s="2"/>
      <c r="D36" s="76"/>
      <c r="E36" s="2"/>
      <c r="M36" s="137"/>
      <c r="N36" s="137"/>
      <c r="O36" s="137"/>
    </row>
    <row r="37" spans="1:15" ht="15" customHeight="1">
      <c r="A37" s="162"/>
      <c r="B37" s="10" t="s">
        <v>547</v>
      </c>
      <c r="C37" s="2"/>
      <c r="D37" s="76"/>
      <c r="E37" s="2"/>
      <c r="M37" s="137"/>
      <c r="N37" s="137"/>
      <c r="O37" s="137"/>
    </row>
    <row r="38" spans="1:15" ht="10.5" customHeight="1">
      <c r="A38" s="162"/>
      <c r="B38" s="10"/>
      <c r="C38" s="2"/>
      <c r="D38" s="76"/>
      <c r="E38" s="2"/>
      <c r="M38" s="137"/>
      <c r="N38" s="137"/>
      <c r="O38" s="137"/>
    </row>
    <row r="39" spans="1:15" ht="15" customHeight="1">
      <c r="A39" s="141"/>
      <c r="B39" s="9" t="s">
        <v>393</v>
      </c>
      <c r="C39" s="2"/>
      <c r="D39" s="76"/>
      <c r="E39" s="2"/>
      <c r="M39" s="206">
        <v>34933641.87674001</v>
      </c>
      <c r="N39" s="231"/>
      <c r="O39" s="214">
        <v>9892132</v>
      </c>
    </row>
    <row r="40" spans="1:15" ht="15" customHeight="1">
      <c r="A40" s="28"/>
      <c r="B40" s="9" t="s">
        <v>363</v>
      </c>
      <c r="C40" s="2"/>
      <c r="D40" s="76"/>
      <c r="E40" s="2"/>
      <c r="M40" s="206">
        <v>117617.04162</v>
      </c>
      <c r="N40" s="231"/>
      <c r="O40" s="214">
        <v>255845</v>
      </c>
    </row>
    <row r="41" spans="1:15" ht="15" customHeight="1">
      <c r="A41" s="28"/>
      <c r="B41" s="9" t="s">
        <v>394</v>
      </c>
      <c r="C41" s="2"/>
      <c r="D41" s="76"/>
      <c r="E41" s="2"/>
      <c r="M41" s="206">
        <v>2530473.81762</v>
      </c>
      <c r="N41" s="231"/>
      <c r="O41" s="214">
        <v>997720</v>
      </c>
    </row>
    <row r="42" spans="1:15" ht="15" customHeight="1">
      <c r="A42" s="28"/>
      <c r="B42" s="9" t="s">
        <v>49</v>
      </c>
      <c r="C42" s="2"/>
      <c r="D42" s="76"/>
      <c r="E42" s="2"/>
      <c r="M42" s="206"/>
      <c r="N42" s="231"/>
      <c r="O42" s="525"/>
    </row>
    <row r="43" spans="1:15" ht="15" customHeight="1">
      <c r="A43" s="28"/>
      <c r="B43" s="9" t="s">
        <v>196</v>
      </c>
      <c r="C43" s="2"/>
      <c r="D43" s="76"/>
      <c r="E43" s="2"/>
      <c r="M43" s="206">
        <v>8374826.26238</v>
      </c>
      <c r="N43" s="231"/>
      <c r="O43" s="214">
        <v>3578551</v>
      </c>
    </row>
    <row r="44" spans="1:15" ht="15" customHeight="1">
      <c r="A44" s="28"/>
      <c r="B44" s="9" t="s">
        <v>364</v>
      </c>
      <c r="C44" s="2"/>
      <c r="D44" s="76"/>
      <c r="E44" s="2"/>
      <c r="M44" s="206">
        <v>17314136.62592</v>
      </c>
      <c r="N44" s="231"/>
      <c r="O44" s="214">
        <v>9245706</v>
      </c>
    </row>
    <row r="45" spans="1:15" ht="15" customHeight="1">
      <c r="A45" s="28"/>
      <c r="B45" s="9" t="s">
        <v>896</v>
      </c>
      <c r="C45" s="2"/>
      <c r="D45" s="76"/>
      <c r="E45" s="2"/>
      <c r="M45" s="206">
        <v>6668316.21721</v>
      </c>
      <c r="N45" s="231"/>
      <c r="O45" s="214">
        <v>5778083.94332</v>
      </c>
    </row>
    <row r="46" spans="1:15" ht="15" customHeight="1">
      <c r="A46" s="28"/>
      <c r="B46" s="9" t="s">
        <v>928</v>
      </c>
      <c r="C46" s="2"/>
      <c r="D46" s="76"/>
      <c r="E46" s="2"/>
      <c r="M46" s="206">
        <v>1489.60839</v>
      </c>
      <c r="N46" s="231"/>
      <c r="O46" s="214">
        <v>9611</v>
      </c>
    </row>
    <row r="47" spans="13:15" ht="15" customHeight="1" thickBot="1">
      <c r="M47" s="213">
        <f>SUM(M39:M46)+1</f>
        <v>69940502.44988</v>
      </c>
      <c r="N47" s="214"/>
      <c r="O47" s="236">
        <f>SUM(O39:O46)</f>
        <v>29757648.94332</v>
      </c>
    </row>
    <row r="48" ht="15" customHeight="1" thickTop="1"/>
  </sheetData>
  <mergeCells count="1">
    <mergeCell ref="M2:O2"/>
  </mergeCells>
  <printOptions/>
  <pageMargins left="0.75" right="0.5" top="1" bottom="1" header="0.5" footer="0.5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L44"/>
  <sheetViews>
    <sheetView zoomScaleSheetLayoutView="100" workbookViewId="0" topLeftCell="A19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.00390625" style="2" customWidth="1"/>
    <col min="3" max="3" width="2.57421875" style="2" customWidth="1"/>
    <col min="4" max="7" width="7.57421875" style="2" customWidth="1"/>
    <col min="8" max="8" width="16.28125" style="2" customWidth="1"/>
    <col min="9" max="9" width="3.140625" style="2" customWidth="1"/>
    <col min="10" max="10" width="13.7109375" style="61" customWidth="1"/>
    <col min="11" max="11" width="1.7109375" style="55" customWidth="1"/>
    <col min="12" max="12" width="13.7109375" style="55" customWidth="1"/>
    <col min="13" max="13" width="7.57421875" style="2" customWidth="1"/>
    <col min="14" max="14" width="18.7109375" style="2" bestFit="1" customWidth="1"/>
    <col min="15" max="17" width="7.57421875" style="2" customWidth="1"/>
    <col min="18" max="18" width="11.421875" style="2" customWidth="1"/>
    <col min="19" max="16384" width="7.57421875" style="2" customWidth="1"/>
  </cols>
  <sheetData>
    <row r="1" spans="1:12" ht="15" customHeight="1">
      <c r="A1" s="105" t="s">
        <v>415</v>
      </c>
      <c r="B1" s="10" t="s">
        <v>786</v>
      </c>
      <c r="D1" s="76"/>
      <c r="I1" s="6"/>
      <c r="J1" s="38" t="s">
        <v>281</v>
      </c>
      <c r="K1" s="37"/>
      <c r="L1" s="88" t="s">
        <v>403</v>
      </c>
    </row>
    <row r="2" spans="1:12" ht="15" customHeight="1">
      <c r="A2" s="9"/>
      <c r="B2" s="9"/>
      <c r="D2" s="76"/>
      <c r="I2" s="6"/>
      <c r="J2" s="567" t="s">
        <v>320</v>
      </c>
      <c r="K2" s="567"/>
      <c r="L2" s="567"/>
    </row>
    <row r="3" spans="1:12" ht="7.5" customHeight="1">
      <c r="A3" s="9"/>
      <c r="B3" s="9"/>
      <c r="D3" s="76"/>
      <c r="I3" s="6"/>
      <c r="J3" s="40"/>
      <c r="K3" s="40"/>
      <c r="L3" s="40"/>
    </row>
    <row r="4" spans="1:12" ht="15" customHeight="1">
      <c r="A4" s="9"/>
      <c r="B4" s="9" t="s">
        <v>369</v>
      </c>
      <c r="D4" s="76"/>
      <c r="I4" s="6"/>
      <c r="J4" s="206">
        <v>3981369.2657099995</v>
      </c>
      <c r="K4" s="231"/>
      <c r="L4" s="214">
        <v>2235276</v>
      </c>
    </row>
    <row r="5" spans="1:12" ht="15" customHeight="1">
      <c r="A5" s="9"/>
      <c r="B5" s="9" t="s">
        <v>928</v>
      </c>
      <c r="D5" s="76"/>
      <c r="I5" s="6"/>
      <c r="J5" s="206">
        <v>66432.57773</v>
      </c>
      <c r="K5" s="214"/>
      <c r="L5" s="214">
        <v>48832</v>
      </c>
    </row>
    <row r="6" spans="2:12" ht="15" customHeight="1" thickBot="1">
      <c r="B6" s="175"/>
      <c r="D6" s="76"/>
      <c r="I6" s="6"/>
      <c r="J6" s="213">
        <f>SUM(J4:J5)</f>
        <v>4047801.8434399995</v>
      </c>
      <c r="K6" s="214"/>
      <c r="L6" s="236">
        <f>SUM(L4:L5)</f>
        <v>2284108</v>
      </c>
    </row>
    <row r="7" spans="9:12" ht="15" customHeight="1" thickTop="1">
      <c r="I7" s="6"/>
      <c r="J7" s="440"/>
      <c r="K7" s="526"/>
      <c r="L7" s="526"/>
    </row>
    <row r="8" spans="1:12" ht="15" customHeight="1">
      <c r="A8" s="105" t="s">
        <v>95</v>
      </c>
      <c r="B8" s="10" t="s">
        <v>787</v>
      </c>
      <c r="J8" s="527"/>
      <c r="K8" s="525"/>
      <c r="L8" s="525"/>
    </row>
    <row r="9" spans="1:12" ht="8.25" customHeight="1">
      <c r="A9" s="9"/>
      <c r="B9" s="10"/>
      <c r="J9" s="527"/>
      <c r="K9" s="525"/>
      <c r="L9" s="525"/>
    </row>
    <row r="10" spans="1:12" ht="15" customHeight="1">
      <c r="A10" s="9"/>
      <c r="B10" s="9" t="s">
        <v>385</v>
      </c>
      <c r="J10" s="206">
        <v>69650.92235</v>
      </c>
      <c r="K10" s="214"/>
      <c r="L10" s="214">
        <v>103373</v>
      </c>
    </row>
    <row r="11" spans="1:12" ht="15" customHeight="1">
      <c r="A11" s="9"/>
      <c r="B11" s="9" t="s">
        <v>352</v>
      </c>
      <c r="J11" s="206">
        <v>62655</v>
      </c>
      <c r="K11" s="214"/>
      <c r="L11" s="214">
        <v>284216</v>
      </c>
    </row>
    <row r="12" spans="1:12" ht="15" customHeight="1">
      <c r="A12" s="9"/>
      <c r="B12" s="9" t="s">
        <v>847</v>
      </c>
      <c r="J12" s="206">
        <v>151516</v>
      </c>
      <c r="K12" s="214"/>
      <c r="L12" s="214">
        <v>149410</v>
      </c>
    </row>
    <row r="13" spans="1:12" ht="15" customHeight="1">
      <c r="A13" s="9"/>
      <c r="B13" s="9" t="s">
        <v>935</v>
      </c>
      <c r="J13" s="206">
        <v>64366.706079999996</v>
      </c>
      <c r="K13" s="214"/>
      <c r="L13" s="214">
        <v>66343</v>
      </c>
    </row>
    <row r="14" spans="1:12" ht="15" customHeight="1">
      <c r="A14" s="9"/>
      <c r="B14" s="9" t="s">
        <v>928</v>
      </c>
      <c r="J14" s="206">
        <v>92844</v>
      </c>
      <c r="K14" s="214"/>
      <c r="L14" s="214">
        <v>89616</v>
      </c>
    </row>
    <row r="15" spans="10:12" ht="15" customHeight="1" thickBot="1">
      <c r="J15" s="213">
        <f>SUM(J10:J14)</f>
        <v>441032.62843</v>
      </c>
      <c r="K15" s="231"/>
      <c r="L15" s="236">
        <f>SUM(L10:L14)</f>
        <v>692958</v>
      </c>
    </row>
    <row r="16" spans="10:12" ht="15" customHeight="1" thickTop="1">
      <c r="J16" s="527"/>
      <c r="K16" s="525"/>
      <c r="L16" s="525"/>
    </row>
    <row r="17" spans="1:12" ht="15" customHeight="1">
      <c r="A17" s="105" t="s">
        <v>649</v>
      </c>
      <c r="B17" s="10" t="s">
        <v>924</v>
      </c>
      <c r="J17" s="527"/>
      <c r="K17" s="525"/>
      <c r="L17" s="525"/>
    </row>
    <row r="18" spans="1:12" ht="8.25" customHeight="1">
      <c r="A18" s="141"/>
      <c r="B18" s="141"/>
      <c r="J18" s="527"/>
      <c r="K18" s="525"/>
      <c r="L18" s="525"/>
    </row>
    <row r="19" spans="1:12" ht="15" customHeight="1">
      <c r="A19" s="9"/>
      <c r="B19" s="9" t="s">
        <v>633</v>
      </c>
      <c r="J19" s="527"/>
      <c r="K19" s="525"/>
      <c r="L19" s="525"/>
    </row>
    <row r="20" spans="1:12" ht="15" customHeight="1">
      <c r="A20" s="9"/>
      <c r="B20" s="28" t="s">
        <v>548</v>
      </c>
      <c r="J20" s="527"/>
      <c r="K20" s="525"/>
      <c r="L20" s="525"/>
    </row>
    <row r="21" spans="1:12" ht="15" customHeight="1">
      <c r="A21" s="9"/>
      <c r="B21" s="9" t="s">
        <v>549</v>
      </c>
      <c r="J21" s="291">
        <v>5503078.03957</v>
      </c>
      <c r="K21" s="429"/>
      <c r="L21" s="528">
        <v>15815128</v>
      </c>
    </row>
    <row r="22" spans="1:12" ht="15" customHeight="1">
      <c r="A22" s="9"/>
      <c r="B22" s="28" t="s">
        <v>51</v>
      </c>
      <c r="J22" s="291"/>
      <c r="K22" s="429"/>
      <c r="L22" s="528"/>
    </row>
    <row r="23" spans="1:12" ht="15" customHeight="1">
      <c r="A23" s="9"/>
      <c r="B23" s="9" t="s">
        <v>52</v>
      </c>
      <c r="J23" s="291">
        <v>-15480</v>
      </c>
      <c r="K23" s="429"/>
      <c r="L23" s="528">
        <v>185266</v>
      </c>
    </row>
    <row r="24" spans="1:12" ht="15" customHeight="1">
      <c r="A24" s="9"/>
      <c r="B24" s="28" t="s">
        <v>353</v>
      </c>
      <c r="J24" s="291">
        <v>-1292.257</v>
      </c>
      <c r="K24" s="429"/>
      <c r="L24" s="528">
        <v>-360255</v>
      </c>
    </row>
    <row r="25" spans="1:12" ht="15" customHeight="1">
      <c r="A25" s="9"/>
      <c r="B25" s="28" t="s">
        <v>436</v>
      </c>
      <c r="J25" s="291">
        <v>-1485867.59993</v>
      </c>
      <c r="K25" s="429"/>
      <c r="L25" s="528">
        <v>-2240929</v>
      </c>
    </row>
    <row r="26" spans="1:12" ht="15" customHeight="1">
      <c r="A26" s="9"/>
      <c r="B26" s="28" t="s">
        <v>814</v>
      </c>
      <c r="J26" s="291">
        <v>262445.3424</v>
      </c>
      <c r="K26" s="429"/>
      <c r="L26" s="528">
        <v>297653</v>
      </c>
    </row>
    <row r="27" spans="1:12" ht="15" customHeight="1">
      <c r="A27" s="9"/>
      <c r="B27" s="28" t="s">
        <v>354</v>
      </c>
      <c r="J27" s="529">
        <v>-34536.46581</v>
      </c>
      <c r="K27" s="429"/>
      <c r="L27" s="530">
        <v>-123712</v>
      </c>
    </row>
    <row r="28" spans="1:12" ht="15" customHeight="1">
      <c r="A28" s="9"/>
      <c r="B28" s="9"/>
      <c r="J28" s="209">
        <f>SUM(J21:J27)</f>
        <v>4228347.05923</v>
      </c>
      <c r="K28" s="95"/>
      <c r="L28" s="231">
        <f>SUM(L21:L27)</f>
        <v>13573151</v>
      </c>
    </row>
    <row r="29" spans="1:12" ht="15" customHeight="1">
      <c r="A29" s="9"/>
      <c r="B29" s="9" t="s">
        <v>632</v>
      </c>
      <c r="J29" s="439">
        <v>147926.18751999998</v>
      </c>
      <c r="K29" s="95"/>
      <c r="L29" s="322">
        <v>254562</v>
      </c>
    </row>
    <row r="30" spans="10:12" ht="15" customHeight="1" thickBot="1">
      <c r="J30" s="213">
        <f>SUM(J28:J29)</f>
        <v>4376273.24675</v>
      </c>
      <c r="K30" s="95"/>
      <c r="L30" s="236">
        <f>SUM(L28:L29)</f>
        <v>13827713</v>
      </c>
    </row>
    <row r="31" spans="10:12" ht="15" customHeight="1" thickTop="1">
      <c r="J31" s="527"/>
      <c r="K31" s="525"/>
      <c r="L31" s="525"/>
    </row>
    <row r="32" spans="1:12" ht="15" customHeight="1">
      <c r="A32" s="105" t="s">
        <v>656</v>
      </c>
      <c r="B32" s="10" t="s">
        <v>502</v>
      </c>
      <c r="J32" s="144"/>
      <c r="K32" s="152"/>
      <c r="L32" s="137"/>
    </row>
    <row r="33" spans="1:12" ht="9.75" customHeight="1">
      <c r="A33" s="9"/>
      <c r="B33" s="10"/>
      <c r="J33" s="137"/>
      <c r="K33" s="152"/>
      <c r="L33" s="137"/>
    </row>
    <row r="34" spans="1:12" ht="15" customHeight="1">
      <c r="A34" s="9"/>
      <c r="B34" s="9" t="s">
        <v>648</v>
      </c>
      <c r="J34" s="206">
        <v>884090.51139</v>
      </c>
      <c r="K34" s="531"/>
      <c r="L34" s="214">
        <v>444416</v>
      </c>
    </row>
    <row r="35" spans="1:12" ht="15" customHeight="1">
      <c r="A35" s="9"/>
      <c r="B35" s="9" t="s">
        <v>229</v>
      </c>
      <c r="J35" s="206">
        <v>34274</v>
      </c>
      <c r="K35" s="531"/>
      <c r="L35" s="214">
        <v>26807</v>
      </c>
    </row>
    <row r="36" spans="1:12" ht="15" customHeight="1">
      <c r="A36" s="9"/>
      <c r="B36" s="9" t="s">
        <v>561</v>
      </c>
      <c r="J36" s="206">
        <v>900080.68246</v>
      </c>
      <c r="K36" s="531"/>
      <c r="L36" s="95">
        <v>399537</v>
      </c>
    </row>
    <row r="37" spans="1:12" ht="15" customHeight="1">
      <c r="A37" s="9"/>
      <c r="B37" s="9" t="s">
        <v>437</v>
      </c>
      <c r="J37" s="206">
        <v>-1019213.6456999999</v>
      </c>
      <c r="K37" s="531"/>
      <c r="L37" s="428">
        <v>-543336</v>
      </c>
    </row>
    <row r="38" spans="1:12" ht="15" customHeight="1">
      <c r="A38" s="9"/>
      <c r="B38" s="9" t="s">
        <v>928</v>
      </c>
      <c r="J38" s="206">
        <v>312.5</v>
      </c>
      <c r="K38" s="531"/>
      <c r="L38" s="214">
        <v>480</v>
      </c>
    </row>
    <row r="39" spans="10:12" ht="15" customHeight="1" thickBot="1">
      <c r="J39" s="213">
        <f>SUM(J34:J38)+1</f>
        <v>799545.04815</v>
      </c>
      <c r="K39" s="531"/>
      <c r="L39" s="236">
        <f>SUM(L34:L38)</f>
        <v>327904</v>
      </c>
    </row>
    <row r="40" ht="15" customHeight="1" thickTop="1"/>
    <row r="41" spans="1:3" ht="15" customHeight="1">
      <c r="A41" s="105" t="s">
        <v>659</v>
      </c>
      <c r="B41" s="10" t="s">
        <v>788</v>
      </c>
      <c r="C41" s="9"/>
    </row>
    <row r="42" spans="1:3" ht="8.25" customHeight="1">
      <c r="A42" s="9"/>
      <c r="B42" s="9"/>
      <c r="C42" s="9"/>
    </row>
    <row r="43" spans="1:3" ht="15" customHeight="1">
      <c r="A43" s="9"/>
      <c r="B43" s="9" t="s">
        <v>551</v>
      </c>
      <c r="C43" s="9"/>
    </row>
    <row r="44" spans="1:3" ht="15" customHeight="1">
      <c r="A44" s="9"/>
      <c r="B44" s="9" t="s">
        <v>815</v>
      </c>
      <c r="C44" s="9"/>
    </row>
  </sheetData>
  <mergeCells count="1">
    <mergeCell ref="J2:L2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6"/>
  <sheetViews>
    <sheetView view="pageBreakPreview" zoomScaleSheetLayoutView="100" workbookViewId="0" topLeftCell="A1">
      <selection activeCell="E46" sqref="E46"/>
    </sheetView>
  </sheetViews>
  <sheetFormatPr defaultColWidth="9.140625" defaultRowHeight="12.75"/>
  <cols>
    <col min="1" max="1" width="3.140625" style="9" customWidth="1"/>
    <col min="2" max="2" width="8.28125" style="9" customWidth="1"/>
    <col min="3" max="3" width="8.8515625" style="9" customWidth="1"/>
    <col min="4" max="5" width="10.00390625" style="9" customWidth="1"/>
    <col min="6" max="6" width="12.421875" style="9" customWidth="1"/>
    <col min="7" max="7" width="7.7109375" style="9" customWidth="1"/>
    <col min="8" max="8" width="14.00390625" style="37" customWidth="1"/>
    <col min="9" max="9" width="1.7109375" style="37" customWidth="1"/>
    <col min="10" max="10" width="14.00390625" style="37" customWidth="1"/>
    <col min="11" max="11" width="10.7109375" style="2" customWidth="1"/>
    <col min="12" max="12" width="9.00390625" style="2" customWidth="1"/>
    <col min="13" max="17" width="7.57421875" style="2" customWidth="1"/>
    <col min="18" max="16384" width="7.57421875" style="9" customWidth="1"/>
  </cols>
  <sheetData>
    <row r="1" spans="1:10" ht="20.25">
      <c r="A1" s="35" t="s">
        <v>490</v>
      </c>
      <c r="G1" s="17"/>
      <c r="H1" s="54"/>
      <c r="I1" s="56"/>
      <c r="J1" s="36"/>
    </row>
    <row r="2" spans="1:10" ht="18.75">
      <c r="A2" s="298" t="s">
        <v>209</v>
      </c>
      <c r="G2" s="17"/>
      <c r="I2" s="56"/>
      <c r="J2" s="36"/>
    </row>
    <row r="3" spans="1:10" ht="15">
      <c r="A3" s="19" t="s">
        <v>404</v>
      </c>
      <c r="G3" s="17"/>
      <c r="I3" s="56"/>
      <c r="J3" s="36"/>
    </row>
    <row r="4" spans="7:10" ht="15">
      <c r="G4" s="17"/>
      <c r="I4" s="56"/>
      <c r="J4" s="36"/>
    </row>
    <row r="5" spans="7:10" ht="15">
      <c r="G5" s="20" t="s">
        <v>103</v>
      </c>
      <c r="H5" s="38" t="s">
        <v>281</v>
      </c>
      <c r="I5" s="39"/>
      <c r="J5" s="88" t="s">
        <v>403</v>
      </c>
    </row>
    <row r="6" spans="7:10" ht="15">
      <c r="G6" s="20"/>
      <c r="H6" s="567" t="s">
        <v>320</v>
      </c>
      <c r="I6" s="567"/>
      <c r="J6" s="567"/>
    </row>
    <row r="7" spans="7:10" ht="15">
      <c r="G7" s="20"/>
      <c r="H7" s="40"/>
      <c r="I7" s="40"/>
      <c r="J7" s="40"/>
    </row>
    <row r="8" spans="1:10" ht="15">
      <c r="A8" s="10" t="s">
        <v>104</v>
      </c>
      <c r="G8" s="20"/>
      <c r="H8" s="40"/>
      <c r="I8" s="40"/>
      <c r="J8" s="40"/>
    </row>
    <row r="9" spans="7:10" ht="15">
      <c r="G9" s="20"/>
      <c r="H9" s="237"/>
      <c r="I9" s="239"/>
      <c r="J9" s="237"/>
    </row>
    <row r="10" spans="1:10" ht="15">
      <c r="A10" s="9" t="s">
        <v>927</v>
      </c>
      <c r="G10" s="20">
        <v>5</v>
      </c>
      <c r="H10" s="107">
        <f>'NOTE 5 - 6.5'!L8</f>
        <v>76317295</v>
      </c>
      <c r="I10" s="53"/>
      <c r="J10" s="53">
        <v>53870004</v>
      </c>
    </row>
    <row r="11" spans="7:10" ht="15">
      <c r="G11" s="20"/>
      <c r="H11" s="147"/>
      <c r="I11" s="53"/>
      <c r="J11" s="53"/>
    </row>
    <row r="12" spans="1:10" ht="15">
      <c r="A12" s="9" t="s">
        <v>833</v>
      </c>
      <c r="G12" s="20">
        <v>6</v>
      </c>
      <c r="H12" s="147">
        <f>'NOTE 5 - 6.5'!L19</f>
        <v>555312089</v>
      </c>
      <c r="I12" s="53"/>
      <c r="J12" s="53">
        <v>472513815</v>
      </c>
    </row>
    <row r="13" spans="7:10" ht="15">
      <c r="G13" s="20"/>
      <c r="H13" s="219"/>
      <c r="I13" s="238"/>
      <c r="J13" s="238"/>
    </row>
    <row r="14" spans="1:10" ht="15">
      <c r="A14" s="9" t="s">
        <v>893</v>
      </c>
      <c r="G14" s="20"/>
      <c r="H14" s="219"/>
      <c r="I14" s="238"/>
      <c r="J14" s="238"/>
    </row>
    <row r="15" spans="1:10" ht="15">
      <c r="A15" s="9" t="s">
        <v>882</v>
      </c>
      <c r="G15" s="20">
        <v>7</v>
      </c>
      <c r="H15" s="219">
        <f>'NOTE 7 - 12.2'!K14</f>
        <v>12035520</v>
      </c>
      <c r="I15" s="238"/>
      <c r="J15" s="238">
        <v>11794613</v>
      </c>
    </row>
    <row r="16" spans="7:10" ht="15">
      <c r="G16" s="20"/>
      <c r="H16" s="147"/>
      <c r="I16" s="53"/>
      <c r="J16" s="53"/>
    </row>
    <row r="17" spans="1:10" ht="15">
      <c r="A17" s="9" t="s">
        <v>684</v>
      </c>
      <c r="G17" s="20"/>
      <c r="H17" s="219"/>
      <c r="I17" s="238"/>
      <c r="J17" s="238"/>
    </row>
    <row r="18" spans="1:10" ht="15">
      <c r="A18" s="28" t="s">
        <v>400</v>
      </c>
      <c r="G18" s="20"/>
      <c r="H18" s="204"/>
      <c r="I18" s="53"/>
      <c r="J18" s="240"/>
    </row>
    <row r="19" spans="1:10" ht="15">
      <c r="A19" s="9" t="s">
        <v>401</v>
      </c>
      <c r="G19" s="20">
        <v>9</v>
      </c>
      <c r="H19" s="216">
        <v>562568</v>
      </c>
      <c r="I19" s="53"/>
      <c r="J19" s="224">
        <v>592981</v>
      </c>
    </row>
    <row r="20" spans="1:10" ht="15">
      <c r="A20" s="28" t="s">
        <v>685</v>
      </c>
      <c r="G20" s="20">
        <v>10</v>
      </c>
      <c r="H20" s="217">
        <f>-'NOTE 7 - 12.2'!K36</f>
        <v>2865468</v>
      </c>
      <c r="I20" s="53"/>
      <c r="J20" s="225">
        <v>2961213</v>
      </c>
    </row>
    <row r="21" spans="7:10" ht="15">
      <c r="G21" s="20"/>
      <c r="H21" s="147">
        <f>SUM(H19:H20)</f>
        <v>3428036</v>
      </c>
      <c r="I21" s="53"/>
      <c r="J21" s="53">
        <f>SUM(J19:J20)</f>
        <v>3554194</v>
      </c>
    </row>
    <row r="22" spans="7:10" ht="15">
      <c r="G22" s="20"/>
      <c r="H22" s="147"/>
      <c r="I22" s="53"/>
      <c r="J22" s="53"/>
    </row>
    <row r="23" spans="1:10" ht="15">
      <c r="A23" s="9" t="s">
        <v>98</v>
      </c>
      <c r="G23" s="20">
        <v>12</v>
      </c>
      <c r="H23" s="107">
        <f>-'NOTE 7 - 12.2'!K78</f>
        <v>135585429</v>
      </c>
      <c r="I23" s="53"/>
      <c r="J23" s="53">
        <v>162802630</v>
      </c>
    </row>
    <row r="24" spans="7:10" ht="15">
      <c r="G24" s="20"/>
      <c r="H24" s="147"/>
      <c r="I24" s="53"/>
      <c r="J24" s="53"/>
    </row>
    <row r="25" spans="1:10" ht="15">
      <c r="A25" s="9" t="s">
        <v>517</v>
      </c>
      <c r="G25" s="20">
        <v>13</v>
      </c>
      <c r="H25" s="147">
        <v>78500</v>
      </c>
      <c r="I25" s="53"/>
      <c r="J25" s="53">
        <v>78500</v>
      </c>
    </row>
    <row r="26" spans="7:10" ht="15">
      <c r="G26" s="20"/>
      <c r="H26" s="147"/>
      <c r="I26" s="53"/>
      <c r="J26" s="53"/>
    </row>
    <row r="27" spans="1:10" ht="15">
      <c r="A27" s="9" t="s">
        <v>109</v>
      </c>
      <c r="G27" s="20">
        <v>14</v>
      </c>
      <c r="H27" s="107">
        <f>'NOTE 13 - 17'!I18</f>
        <v>1618417</v>
      </c>
      <c r="I27" s="53"/>
      <c r="J27" s="53">
        <v>1251952</v>
      </c>
    </row>
    <row r="28" spans="7:10" ht="15">
      <c r="G28" s="20"/>
      <c r="H28" s="147"/>
      <c r="I28" s="53"/>
      <c r="J28" s="53"/>
    </row>
    <row r="29" spans="7:10" ht="15.75" thickBot="1">
      <c r="G29" s="20"/>
      <c r="H29" s="149">
        <f>H10+H12+H21+H23+H25+H27+H15</f>
        <v>784375286</v>
      </c>
      <c r="I29" s="53"/>
      <c r="J29" s="62">
        <f>J10+J12+J21+J23+J25+J27+J15</f>
        <v>705865708</v>
      </c>
    </row>
    <row r="30" spans="7:10" ht="15.75" thickTop="1">
      <c r="G30" s="20"/>
      <c r="H30" s="219"/>
      <c r="I30" s="53"/>
      <c r="J30" s="238"/>
    </row>
    <row r="31" spans="1:10" ht="15">
      <c r="A31" s="10" t="s">
        <v>275</v>
      </c>
      <c r="G31" s="20"/>
      <c r="H31" s="147"/>
      <c r="I31" s="53"/>
      <c r="J31" s="53"/>
    </row>
    <row r="32" spans="7:10" ht="15">
      <c r="G32" s="20"/>
      <c r="H32" s="147"/>
      <c r="I32" s="53"/>
      <c r="J32" s="241"/>
    </row>
    <row r="33" spans="1:10" ht="15.75" thickBot="1">
      <c r="A33" s="9" t="s">
        <v>314</v>
      </c>
      <c r="G33" s="20">
        <v>15</v>
      </c>
      <c r="H33" s="242">
        <f>'NOTE 13 - 17'!I29</f>
        <v>784375286</v>
      </c>
      <c r="I33" s="53"/>
      <c r="J33" s="243">
        <v>705865708</v>
      </c>
    </row>
    <row r="34" spans="7:10" ht="15.75" thickTop="1">
      <c r="G34" s="17"/>
      <c r="H34" s="147"/>
      <c r="I34" s="53"/>
      <c r="J34" s="52"/>
    </row>
    <row r="35" spans="7:10" ht="15">
      <c r="G35" s="17"/>
      <c r="H35" s="147"/>
      <c r="I35" s="53"/>
      <c r="J35" s="53"/>
    </row>
    <row r="36" spans="1:10" ht="15">
      <c r="A36" s="397" t="s">
        <v>131</v>
      </c>
      <c r="G36" s="17"/>
      <c r="H36" s="53"/>
      <c r="I36" s="53"/>
      <c r="J36" s="52"/>
    </row>
    <row r="37" spans="7:10" ht="15">
      <c r="G37" s="17"/>
      <c r="H37" s="53"/>
      <c r="I37" s="53"/>
      <c r="J37" s="43"/>
    </row>
    <row r="38" spans="3:10" ht="15">
      <c r="C38" s="203" t="s">
        <v>758</v>
      </c>
      <c r="D38" s="202"/>
      <c r="E38" s="202"/>
      <c r="F38" s="203" t="s">
        <v>29</v>
      </c>
      <c r="H38" s="53"/>
      <c r="I38" s="43" t="s">
        <v>618</v>
      </c>
      <c r="J38" s="52"/>
    </row>
    <row r="39" spans="3:10" ht="15">
      <c r="C39" s="23" t="s">
        <v>653</v>
      </c>
      <c r="D39" s="201"/>
      <c r="E39" s="201"/>
      <c r="F39" s="23" t="s">
        <v>226</v>
      </c>
      <c r="I39" s="226" t="s">
        <v>160</v>
      </c>
      <c r="J39" s="90"/>
    </row>
    <row r="40" spans="3:10" ht="15">
      <c r="C40" s="23" t="s">
        <v>617</v>
      </c>
      <c r="D40" s="201"/>
      <c r="E40" s="201"/>
      <c r="F40" s="23" t="s">
        <v>159</v>
      </c>
      <c r="I40" s="40" t="s">
        <v>161</v>
      </c>
      <c r="J40" s="40"/>
    </row>
    <row r="41" spans="1:10" ht="15.75" hidden="1" thickBot="1">
      <c r="A41" s="2"/>
      <c r="B41" s="2"/>
      <c r="C41" s="2"/>
      <c r="D41" s="2"/>
      <c r="E41" s="2"/>
      <c r="F41" s="222" t="s">
        <v>508</v>
      </c>
      <c r="G41" s="223"/>
      <c r="H41" s="227">
        <f>H29-H33</f>
        <v>0</v>
      </c>
      <c r="I41" s="228"/>
      <c r="J41" s="282">
        <f>J29-J33</f>
        <v>0</v>
      </c>
    </row>
    <row r="42" spans="1:10" ht="15">
      <c r="A42" s="2"/>
      <c r="B42" s="2"/>
      <c r="C42" s="2"/>
      <c r="D42" s="2"/>
      <c r="E42" s="2"/>
      <c r="F42" s="2"/>
      <c r="G42" s="2"/>
      <c r="H42" s="55"/>
      <c r="I42" s="55"/>
      <c r="J42" s="55"/>
    </row>
    <row r="43" spans="1:17" s="10" customFormat="1" ht="15">
      <c r="A43" s="2"/>
      <c r="B43" s="2"/>
      <c r="C43" s="2"/>
      <c r="D43" s="2"/>
      <c r="E43" s="2"/>
      <c r="F43" s="2"/>
      <c r="G43" s="2"/>
      <c r="H43" s="55"/>
      <c r="I43" s="55"/>
      <c r="J43" s="55"/>
      <c r="K43" s="2"/>
      <c r="L43" s="2"/>
      <c r="M43" s="2"/>
      <c r="N43" s="2"/>
      <c r="O43" s="2"/>
      <c r="P43" s="2"/>
      <c r="Q43" s="2"/>
    </row>
    <row r="44" spans="1:10" ht="15">
      <c r="A44" s="2"/>
      <c r="B44" s="2"/>
      <c r="C44" s="2"/>
      <c r="D44" s="2"/>
      <c r="E44" s="2"/>
      <c r="F44" s="2"/>
      <c r="G44" s="2"/>
      <c r="H44" s="55"/>
      <c r="I44" s="55"/>
      <c r="J44" s="55"/>
    </row>
    <row r="45" spans="7:10" ht="15">
      <c r="G45" s="17"/>
      <c r="H45" s="53"/>
      <c r="I45" s="53"/>
      <c r="J45" s="52"/>
    </row>
    <row r="46" spans="7:10" ht="15">
      <c r="G46" s="17"/>
      <c r="H46" s="109"/>
      <c r="I46" s="109"/>
      <c r="J46" s="43"/>
    </row>
    <row r="47" spans="7:10" ht="15">
      <c r="G47" s="17"/>
      <c r="H47" s="109"/>
      <c r="I47" s="56"/>
      <c r="J47" s="52"/>
    </row>
    <row r="48" spans="7:10" ht="15">
      <c r="G48" s="17"/>
      <c r="H48" s="56"/>
      <c r="I48" s="56"/>
      <c r="J48" s="108"/>
    </row>
    <row r="49" spans="1:10" ht="15">
      <c r="A49" s="34"/>
      <c r="G49" s="17"/>
      <c r="H49" s="56"/>
      <c r="I49" s="56"/>
      <c r="J49" s="52"/>
    </row>
    <row r="50" spans="7:10" ht="15">
      <c r="G50" s="17"/>
      <c r="H50" s="56"/>
      <c r="I50" s="56"/>
      <c r="J50" s="52"/>
    </row>
    <row r="51" spans="7:10" ht="15">
      <c r="G51" s="17"/>
      <c r="H51" s="56"/>
      <c r="I51" s="56"/>
      <c r="J51" s="43"/>
    </row>
    <row r="52" spans="7:10" ht="15">
      <c r="G52" s="17"/>
      <c r="H52" s="56"/>
      <c r="I52" s="56"/>
      <c r="J52" s="52"/>
    </row>
    <row r="53" spans="7:10" ht="15">
      <c r="G53" s="17"/>
      <c r="H53" s="56"/>
      <c r="I53" s="56"/>
      <c r="J53" s="52"/>
    </row>
    <row r="54" spans="7:10" ht="15">
      <c r="G54" s="17"/>
      <c r="H54" s="56"/>
      <c r="I54" s="56"/>
      <c r="J54" s="52"/>
    </row>
    <row r="55" spans="7:10" ht="15">
      <c r="G55" s="17"/>
      <c r="H55" s="56"/>
      <c r="I55" s="56"/>
      <c r="J55" s="52"/>
    </row>
    <row r="56" spans="7:10" ht="15">
      <c r="G56" s="17"/>
      <c r="I56" s="56"/>
      <c r="J56" s="36"/>
    </row>
  </sheetData>
  <mergeCells count="1">
    <mergeCell ref="H6:J6"/>
  </mergeCells>
  <printOptions/>
  <pageMargins left="0.75" right="0.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O57"/>
  <sheetViews>
    <sheetView view="pageBreakPreview" zoomScaleSheetLayoutView="100" workbookViewId="0" topLeftCell="A31">
      <selection activeCell="A1" sqref="A1"/>
    </sheetView>
  </sheetViews>
  <sheetFormatPr defaultColWidth="9.140625" defaultRowHeight="15" customHeight="1"/>
  <cols>
    <col min="1" max="1" width="5.8515625" style="9" customWidth="1"/>
    <col min="2" max="2" width="2.57421875" style="9" customWidth="1"/>
    <col min="3" max="3" width="30.28125" style="9" customWidth="1"/>
    <col min="4" max="4" width="12.57421875" style="9" customWidth="1"/>
    <col min="5" max="5" width="1.7109375" style="18" customWidth="1"/>
    <col min="6" max="6" width="12.140625" style="9" customWidth="1"/>
    <col min="7" max="7" width="1.7109375" style="18" customWidth="1"/>
    <col min="8" max="8" width="13.7109375" style="9" customWidth="1"/>
    <col min="9" max="9" width="1.7109375" style="18" customWidth="1"/>
    <col min="10" max="10" width="11.57421875" style="9" bestFit="1" customWidth="1"/>
    <col min="11" max="11" width="1.7109375" style="18" customWidth="1"/>
    <col min="12" max="12" width="10.28125" style="9" bestFit="1" customWidth="1"/>
    <col min="13" max="13" width="13.7109375" style="6" customWidth="1"/>
    <col min="14" max="14" width="19.00390625" style="83" customWidth="1"/>
    <col min="15" max="15" width="16.57421875" style="4" bestFit="1" customWidth="1"/>
    <col min="16" max="24" width="7.57421875" style="2" customWidth="1"/>
    <col min="25" max="16384" width="7.57421875" style="9" customWidth="1"/>
  </cols>
  <sheetData>
    <row r="1" spans="1:2" ht="15" customHeight="1">
      <c r="A1" s="105" t="s">
        <v>512</v>
      </c>
      <c r="B1" s="10" t="s">
        <v>789</v>
      </c>
    </row>
    <row r="2" ht="9" customHeight="1"/>
    <row r="3" ht="15" customHeight="1">
      <c r="B3" s="9" t="s">
        <v>720</v>
      </c>
    </row>
    <row r="4" ht="15" customHeight="1">
      <c r="B4" s="9" t="s">
        <v>721</v>
      </c>
    </row>
    <row r="5" ht="10.5" customHeight="1"/>
    <row r="6" spans="1:12" ht="15" customHeight="1">
      <c r="A6" s="105" t="s">
        <v>513</v>
      </c>
      <c r="B6" s="10" t="s">
        <v>227</v>
      </c>
      <c r="C6" s="10"/>
      <c r="D6" s="134"/>
      <c r="E6" s="134"/>
      <c r="F6" s="119"/>
      <c r="G6" s="119"/>
      <c r="H6" s="23"/>
      <c r="I6" s="22"/>
      <c r="J6" s="38" t="s">
        <v>281</v>
      </c>
      <c r="K6" s="37"/>
      <c r="L6" s="88" t="s">
        <v>403</v>
      </c>
    </row>
    <row r="7" spans="1:12" ht="15" customHeight="1">
      <c r="A7" s="134"/>
      <c r="B7" s="115" t="s">
        <v>228</v>
      </c>
      <c r="C7" s="115"/>
      <c r="D7" s="134"/>
      <c r="E7" s="134"/>
      <c r="F7" s="134"/>
      <c r="G7" s="134"/>
      <c r="H7" s="23"/>
      <c r="I7" s="23"/>
      <c r="J7" s="567" t="s">
        <v>320</v>
      </c>
      <c r="K7" s="567"/>
      <c r="L7" s="567"/>
    </row>
    <row r="8" spans="4:11" ht="9.75" customHeight="1">
      <c r="D8" s="134"/>
      <c r="E8" s="134"/>
      <c r="F8" s="134"/>
      <c r="G8" s="134"/>
      <c r="H8" s="134"/>
      <c r="I8" s="134"/>
      <c r="J8" s="134"/>
      <c r="K8" s="134"/>
    </row>
    <row r="9" spans="2:15" ht="15" customHeight="1">
      <c r="B9" s="9" t="s">
        <v>698</v>
      </c>
      <c r="D9" s="134"/>
      <c r="E9" s="134"/>
      <c r="F9" s="134"/>
      <c r="G9" s="134"/>
      <c r="I9" s="148"/>
      <c r="J9" s="261">
        <v>3181266.62181</v>
      </c>
      <c r="K9" s="98"/>
      <c r="L9" s="532">
        <v>2956438</v>
      </c>
      <c r="O9" s="4">
        <v>533501.56548</v>
      </c>
    </row>
    <row r="10" spans="2:15" ht="15" customHeight="1">
      <c r="B10" s="9" t="s">
        <v>940</v>
      </c>
      <c r="D10" s="163"/>
      <c r="E10" s="163"/>
      <c r="F10" s="134"/>
      <c r="G10" s="134"/>
      <c r="I10" s="148"/>
      <c r="J10" s="261">
        <v>2140981.3379100002</v>
      </c>
      <c r="K10" s="98"/>
      <c r="L10" s="532">
        <v>1385001</v>
      </c>
      <c r="M10" s="14"/>
      <c r="O10" s="4">
        <v>1010372.107</v>
      </c>
    </row>
    <row r="11" spans="2:13" ht="15" customHeight="1">
      <c r="B11" s="9" t="s">
        <v>310</v>
      </c>
      <c r="D11" s="163"/>
      <c r="E11" s="163"/>
      <c r="F11" s="134"/>
      <c r="G11" s="134"/>
      <c r="I11" s="218"/>
      <c r="J11" s="209">
        <v>10000</v>
      </c>
      <c r="K11" s="98"/>
      <c r="L11" s="532">
        <v>10000</v>
      </c>
      <c r="M11" s="14"/>
    </row>
    <row r="12" spans="2:15" ht="15" customHeight="1">
      <c r="B12" s="9" t="s">
        <v>828</v>
      </c>
      <c r="D12" s="134"/>
      <c r="E12" s="134"/>
      <c r="F12" s="134"/>
      <c r="G12" s="134"/>
      <c r="I12" s="148"/>
      <c r="J12" s="261">
        <v>15116.269</v>
      </c>
      <c r="K12" s="98"/>
      <c r="L12" s="532">
        <v>21714</v>
      </c>
      <c r="O12" s="4">
        <v>12868.748</v>
      </c>
    </row>
    <row r="13" spans="2:15" ht="15" customHeight="1">
      <c r="B13" s="9" t="s">
        <v>635</v>
      </c>
      <c r="D13" s="134"/>
      <c r="E13" s="134"/>
      <c r="F13" s="134"/>
      <c r="G13" s="134"/>
      <c r="I13" s="148"/>
      <c r="J13" s="261">
        <v>6163.099</v>
      </c>
      <c r="K13" s="98"/>
      <c r="L13" s="532">
        <v>5551</v>
      </c>
      <c r="O13" s="4">
        <v>1566.471</v>
      </c>
    </row>
    <row r="14" spans="2:15" ht="15" customHeight="1">
      <c r="B14" s="9" t="s">
        <v>525</v>
      </c>
      <c r="D14" s="134"/>
      <c r="E14" s="134"/>
      <c r="F14" s="134"/>
      <c r="G14" s="134"/>
      <c r="I14" s="218"/>
      <c r="J14" s="209">
        <v>140499.679</v>
      </c>
      <c r="K14" s="98"/>
      <c r="L14" s="532">
        <v>114920</v>
      </c>
      <c r="O14" s="4">
        <v>623.248</v>
      </c>
    </row>
    <row r="15" spans="2:15" ht="15" customHeight="1">
      <c r="B15" s="9" t="s">
        <v>930</v>
      </c>
      <c r="D15" s="163"/>
      <c r="E15" s="163"/>
      <c r="G15" s="135"/>
      <c r="H15" s="135">
        <v>19.1</v>
      </c>
      <c r="I15" s="218"/>
      <c r="J15" s="209">
        <f>403093.64076-1</f>
        <v>403092.64076</v>
      </c>
      <c r="K15" s="98"/>
      <c r="L15" s="532">
        <v>397312</v>
      </c>
      <c r="O15" s="4">
        <v>387450.20892999996</v>
      </c>
    </row>
    <row r="16" spans="2:12" ht="15" customHeight="1">
      <c r="B16" s="9" t="s">
        <v>852</v>
      </c>
      <c r="D16" s="163"/>
      <c r="E16" s="163"/>
      <c r="G16" s="135"/>
      <c r="H16" s="135"/>
      <c r="I16" s="218"/>
      <c r="J16" s="209">
        <f>77078.95974-7092</f>
        <v>69986.95974</v>
      </c>
      <c r="K16" s="98"/>
      <c r="L16" s="532">
        <v>45363</v>
      </c>
    </row>
    <row r="17" spans="2:15" ht="15" customHeight="1">
      <c r="B17" s="9" t="s">
        <v>307</v>
      </c>
      <c r="D17" s="134"/>
      <c r="E17" s="134"/>
      <c r="G17" s="134"/>
      <c r="H17" s="134"/>
      <c r="I17" s="218"/>
      <c r="J17" s="209">
        <f>138304.34606+1</f>
        <v>138305.34606</v>
      </c>
      <c r="K17" s="98"/>
      <c r="L17" s="532">
        <v>105327</v>
      </c>
      <c r="O17" s="4">
        <v>28121.50019</v>
      </c>
    </row>
    <row r="18" spans="2:15" ht="15" customHeight="1">
      <c r="B18" s="9" t="s">
        <v>929</v>
      </c>
      <c r="D18" s="134"/>
      <c r="E18" s="134"/>
      <c r="G18" s="135"/>
      <c r="H18" s="135">
        <v>42.1</v>
      </c>
      <c r="I18" s="218"/>
      <c r="J18" s="209">
        <v>4326</v>
      </c>
      <c r="K18" s="98"/>
      <c r="L18" s="532">
        <v>3292</v>
      </c>
      <c r="O18" s="4">
        <v>1204.282</v>
      </c>
    </row>
    <row r="19" spans="2:15" ht="15" customHeight="1">
      <c r="B19" s="9" t="s">
        <v>526</v>
      </c>
      <c r="D19" s="134"/>
      <c r="E19" s="134"/>
      <c r="F19" s="134"/>
      <c r="G19" s="134"/>
      <c r="I19" s="218"/>
      <c r="J19" s="209">
        <v>305481.69778</v>
      </c>
      <c r="K19" s="98"/>
      <c r="L19" s="532">
        <v>291403</v>
      </c>
      <c r="O19" s="4">
        <v>207894.42323</v>
      </c>
    </row>
    <row r="20" spans="2:15" ht="15" customHeight="1">
      <c r="B20" s="9" t="s">
        <v>168</v>
      </c>
      <c r="D20" s="134"/>
      <c r="E20" s="134"/>
      <c r="F20" s="134"/>
      <c r="G20" s="134"/>
      <c r="I20" s="218"/>
      <c r="J20" s="209">
        <v>103169.65286</v>
      </c>
      <c r="K20" s="98"/>
      <c r="L20" s="532">
        <v>102874</v>
      </c>
      <c r="O20" s="4">
        <v>15298.862</v>
      </c>
    </row>
    <row r="21" spans="2:15" ht="15" customHeight="1">
      <c r="B21" s="9" t="s">
        <v>843</v>
      </c>
      <c r="D21" s="134"/>
      <c r="E21" s="134"/>
      <c r="F21" s="134"/>
      <c r="G21" s="134"/>
      <c r="I21" s="218"/>
      <c r="J21" s="209">
        <v>41381.35</v>
      </c>
      <c r="K21" s="98"/>
      <c r="L21" s="532">
        <v>36952</v>
      </c>
      <c r="O21" s="4">
        <v>20341.054829999997</v>
      </c>
    </row>
    <row r="22" spans="2:15" ht="15" customHeight="1">
      <c r="B22" s="9" t="s">
        <v>527</v>
      </c>
      <c r="D22" s="134"/>
      <c r="E22" s="134"/>
      <c r="F22" s="134"/>
      <c r="G22" s="134"/>
      <c r="I22" s="218"/>
      <c r="J22" s="209">
        <v>10789.101999999999</v>
      </c>
      <c r="K22" s="98"/>
      <c r="L22" s="532">
        <v>8292</v>
      </c>
      <c r="O22" s="4">
        <v>53.532</v>
      </c>
    </row>
    <row r="23" spans="2:15" ht="15" customHeight="1">
      <c r="B23" s="9" t="s">
        <v>528</v>
      </c>
      <c r="D23" s="134"/>
      <c r="E23" s="134"/>
      <c r="F23" s="134"/>
      <c r="G23" s="134"/>
      <c r="I23" s="218"/>
      <c r="J23" s="209">
        <v>8905.687</v>
      </c>
      <c r="K23" s="98"/>
      <c r="L23" s="532">
        <v>9662</v>
      </c>
      <c r="O23" s="4">
        <v>2861.115</v>
      </c>
    </row>
    <row r="24" spans="2:15" ht="15" customHeight="1">
      <c r="B24" s="9" t="s">
        <v>38</v>
      </c>
      <c r="D24" s="134"/>
      <c r="E24" s="134"/>
      <c r="F24" s="134"/>
      <c r="G24" s="134"/>
      <c r="I24" s="218"/>
      <c r="J24" s="209">
        <v>88546.90732</v>
      </c>
      <c r="K24" s="98"/>
      <c r="L24" s="532">
        <v>76335</v>
      </c>
      <c r="O24" s="4">
        <v>1712.23705</v>
      </c>
    </row>
    <row r="25" spans="2:15" ht="15" customHeight="1">
      <c r="B25" s="9" t="s">
        <v>827</v>
      </c>
      <c r="D25" s="134"/>
      <c r="E25" s="134"/>
      <c r="F25" s="134"/>
      <c r="G25" s="134"/>
      <c r="I25" s="218"/>
      <c r="J25" s="209">
        <v>24309.0611</v>
      </c>
      <c r="K25" s="98"/>
      <c r="L25" s="532">
        <v>22977</v>
      </c>
      <c r="O25" s="4">
        <v>5330.883</v>
      </c>
    </row>
    <row r="26" spans="2:15" ht="15" customHeight="1">
      <c r="B26" s="9" t="s">
        <v>829</v>
      </c>
      <c r="D26" s="134"/>
      <c r="E26" s="134"/>
      <c r="F26" s="134"/>
      <c r="G26" s="134"/>
      <c r="I26" s="218"/>
      <c r="J26" s="209">
        <v>2992.5</v>
      </c>
      <c r="K26" s="98"/>
      <c r="L26" s="532">
        <v>66</v>
      </c>
      <c r="O26" s="4">
        <v>4503.463</v>
      </c>
    </row>
    <row r="27" spans="2:15" ht="15" customHeight="1">
      <c r="B27" s="9" t="s">
        <v>830</v>
      </c>
      <c r="D27" s="134"/>
      <c r="E27" s="134"/>
      <c r="F27" s="134"/>
      <c r="G27" s="134"/>
      <c r="I27" s="218"/>
      <c r="J27" s="209">
        <v>37445</v>
      </c>
      <c r="K27" s="98"/>
      <c r="L27" s="532">
        <v>31972</v>
      </c>
      <c r="O27" s="4">
        <v>3679.98909</v>
      </c>
    </row>
    <row r="28" spans="2:15" ht="15" customHeight="1">
      <c r="B28" s="9" t="s">
        <v>849</v>
      </c>
      <c r="D28" s="134"/>
      <c r="E28" s="134"/>
      <c r="F28" s="134"/>
      <c r="G28" s="134"/>
      <c r="I28" s="218"/>
      <c r="J28" s="209">
        <v>14934.13548</v>
      </c>
      <c r="K28" s="98"/>
      <c r="L28" s="532">
        <v>16355</v>
      </c>
      <c r="O28" s="4">
        <v>6378.61586</v>
      </c>
    </row>
    <row r="29" spans="2:15" ht="15" customHeight="1">
      <c r="B29" s="9" t="s">
        <v>831</v>
      </c>
      <c r="D29" s="134"/>
      <c r="E29" s="134"/>
      <c r="F29" s="134"/>
      <c r="G29" s="134"/>
      <c r="I29" s="148"/>
      <c r="J29" s="261">
        <v>12264.50321</v>
      </c>
      <c r="K29" s="98"/>
      <c r="L29" s="532">
        <v>9476</v>
      </c>
      <c r="O29" s="4">
        <v>6358.47123</v>
      </c>
    </row>
    <row r="30" spans="2:15" ht="15" customHeight="1">
      <c r="B30" s="9" t="s">
        <v>841</v>
      </c>
      <c r="D30" s="134"/>
      <c r="E30" s="134"/>
      <c r="F30" s="134"/>
      <c r="G30" s="134"/>
      <c r="I30" s="148"/>
      <c r="J30" s="261">
        <v>16357.297</v>
      </c>
      <c r="K30" s="98"/>
      <c r="L30" s="532">
        <v>5715</v>
      </c>
      <c r="O30" s="4">
        <v>2376.445</v>
      </c>
    </row>
    <row r="31" spans="2:15" ht="15" customHeight="1">
      <c r="B31" s="9" t="s">
        <v>832</v>
      </c>
      <c r="D31" s="134"/>
      <c r="E31" s="134"/>
      <c r="F31" s="134"/>
      <c r="G31" s="134"/>
      <c r="I31" s="148"/>
      <c r="J31" s="261">
        <v>15009.77</v>
      </c>
      <c r="K31" s="98"/>
      <c r="L31" s="532">
        <v>17632</v>
      </c>
      <c r="O31" s="4">
        <v>1992.761</v>
      </c>
    </row>
    <row r="32" spans="2:15" ht="15" customHeight="1">
      <c r="B32" s="9" t="s">
        <v>928</v>
      </c>
      <c r="D32" s="18"/>
      <c r="F32" s="134"/>
      <c r="G32" s="134"/>
      <c r="I32" s="148"/>
      <c r="J32" s="533">
        <f>158394.15403+1+7092</f>
        <v>165487.15403</v>
      </c>
      <c r="K32" s="98"/>
      <c r="L32" s="534">
        <v>105008</v>
      </c>
      <c r="M32" s="9"/>
      <c r="O32" s="83" t="e">
        <f>N32-#REF!</f>
        <v>#REF!</v>
      </c>
    </row>
    <row r="33" spans="4:14" ht="15" customHeight="1" thickBot="1">
      <c r="D33" s="134"/>
      <c r="E33" s="134"/>
      <c r="F33" s="134"/>
      <c r="G33" s="134"/>
      <c r="I33" s="90"/>
      <c r="J33" s="213">
        <f>SUM(J9:J32)+1</f>
        <v>6956812.771059999</v>
      </c>
      <c r="K33" s="98"/>
      <c r="L33" s="102">
        <f>SUM(L9:L32)</f>
        <v>5779637</v>
      </c>
      <c r="M33" s="42"/>
      <c r="N33" s="42"/>
    </row>
    <row r="34" ht="8.25" customHeight="1" thickTop="1"/>
    <row r="35" spans="1:12" ht="15" customHeight="1">
      <c r="A35" s="105" t="s">
        <v>606</v>
      </c>
      <c r="B35" s="10" t="s">
        <v>628</v>
      </c>
      <c r="C35" s="63"/>
      <c r="D35" s="63"/>
      <c r="E35" s="482"/>
      <c r="F35" s="63"/>
      <c r="G35" s="482"/>
      <c r="H35" s="63"/>
      <c r="I35" s="482"/>
      <c r="J35" s="63"/>
      <c r="K35" s="482"/>
      <c r="L35" s="63"/>
    </row>
    <row r="36" spans="1:12" ht="15" customHeight="1">
      <c r="A36" s="105"/>
      <c r="B36" s="10"/>
      <c r="D36" s="376" t="s">
        <v>280</v>
      </c>
      <c r="E36" s="483"/>
      <c r="F36" s="376" t="s">
        <v>41</v>
      </c>
      <c r="G36" s="483"/>
      <c r="H36" s="376" t="s">
        <v>93</v>
      </c>
      <c r="I36" s="483"/>
      <c r="J36" s="376">
        <v>2006</v>
      </c>
      <c r="K36" s="483"/>
      <c r="L36" s="388">
        <v>2005</v>
      </c>
    </row>
    <row r="37" spans="1:12" ht="15" customHeight="1">
      <c r="A37" s="105"/>
      <c r="B37" s="10"/>
      <c r="D37" s="376" t="s">
        <v>44</v>
      </c>
      <c r="E37" s="483"/>
      <c r="F37" s="376" t="s">
        <v>42</v>
      </c>
      <c r="G37" s="483"/>
      <c r="H37" s="376" t="s">
        <v>43</v>
      </c>
      <c r="I37" s="483"/>
      <c r="J37" s="376"/>
      <c r="K37" s="483"/>
      <c r="L37" s="388"/>
    </row>
    <row r="38" spans="1:12" ht="15" customHeight="1">
      <c r="A38" s="105"/>
      <c r="B38" s="10"/>
      <c r="D38" s="376" t="s">
        <v>43</v>
      </c>
      <c r="E38" s="483"/>
      <c r="F38" s="376" t="s">
        <v>43</v>
      </c>
      <c r="G38" s="483"/>
      <c r="H38" s="376"/>
      <c r="I38" s="483"/>
      <c r="J38" s="376"/>
      <c r="K38" s="483"/>
      <c r="L38" s="388"/>
    </row>
    <row r="39" spans="1:9" ht="15" customHeight="1">
      <c r="A39" s="105"/>
      <c r="B39" s="10"/>
      <c r="H39" s="387" t="s">
        <v>417</v>
      </c>
      <c r="I39" s="387"/>
    </row>
    <row r="40" spans="1:2" ht="15" customHeight="1">
      <c r="A40" s="105"/>
      <c r="B40" s="10"/>
    </row>
    <row r="41" spans="1:2" ht="15" customHeight="1">
      <c r="A41" s="105"/>
      <c r="B41" s="10" t="s">
        <v>864</v>
      </c>
    </row>
    <row r="42" spans="2:12" ht="15" customHeight="1">
      <c r="B42" s="9" t="s">
        <v>629</v>
      </c>
      <c r="D42" s="231">
        <v>875</v>
      </c>
      <c r="E42" s="231"/>
      <c r="F42" s="231">
        <v>875</v>
      </c>
      <c r="G42" s="231"/>
      <c r="H42" s="209">
        <v>0</v>
      </c>
      <c r="I42" s="209"/>
      <c r="J42" s="291">
        <f>D42+F42</f>
        <v>1750</v>
      </c>
      <c r="K42" s="291"/>
      <c r="L42" s="528">
        <v>1250</v>
      </c>
    </row>
    <row r="43" spans="2:12" ht="15" customHeight="1">
      <c r="B43" s="9" t="s">
        <v>630</v>
      </c>
      <c r="D43" s="233">
        <v>100</v>
      </c>
      <c r="E43" s="231"/>
      <c r="F43" s="233">
        <v>100</v>
      </c>
      <c r="G43" s="231"/>
      <c r="H43" s="232">
        <v>0</v>
      </c>
      <c r="I43" s="209"/>
      <c r="J43" s="232">
        <f>F43+D43</f>
        <v>200</v>
      </c>
      <c r="K43" s="209"/>
      <c r="L43" s="530">
        <v>200</v>
      </c>
    </row>
    <row r="44" spans="4:12" ht="15" customHeight="1">
      <c r="D44" s="209">
        <f>SUM(D42:D43)</f>
        <v>975</v>
      </c>
      <c r="E44" s="209"/>
      <c r="F44" s="209">
        <f>SUM(F42:F43)</f>
        <v>975</v>
      </c>
      <c r="G44" s="209"/>
      <c r="H44" s="209">
        <v>0</v>
      </c>
      <c r="I44" s="209"/>
      <c r="J44" s="209">
        <f>SUM(J42:J43)</f>
        <v>1950</v>
      </c>
      <c r="K44" s="209"/>
      <c r="L44" s="231">
        <f>SUM(L42:L43)</f>
        <v>1450</v>
      </c>
    </row>
    <row r="45" spans="2:12" ht="15" customHeight="1">
      <c r="B45" s="10" t="s">
        <v>166</v>
      </c>
      <c r="D45" s="209"/>
      <c r="E45" s="209"/>
      <c r="F45" s="209"/>
      <c r="G45" s="209"/>
      <c r="H45" s="209"/>
      <c r="I45" s="209"/>
      <c r="J45" s="209"/>
      <c r="K45" s="209"/>
      <c r="L45" s="528"/>
    </row>
    <row r="46" spans="2:12" ht="8.25" customHeight="1">
      <c r="B46" s="10"/>
      <c r="D46" s="209"/>
      <c r="E46" s="209"/>
      <c r="F46" s="209"/>
      <c r="G46" s="209"/>
      <c r="H46" s="209"/>
      <c r="I46" s="209"/>
      <c r="J46" s="209"/>
      <c r="K46" s="209"/>
      <c r="L46" s="528"/>
    </row>
    <row r="47" spans="2:12" ht="15" customHeight="1">
      <c r="B47" s="9" t="s">
        <v>629</v>
      </c>
      <c r="D47" s="231">
        <v>875</v>
      </c>
      <c r="E47" s="231"/>
      <c r="F47" s="231">
        <v>875</v>
      </c>
      <c r="G47" s="231"/>
      <c r="H47" s="209">
        <v>0</v>
      </c>
      <c r="I47" s="209"/>
      <c r="J47" s="209">
        <f>+D47+F47</f>
        <v>1750</v>
      </c>
      <c r="K47" s="209"/>
      <c r="L47" s="528">
        <v>1250</v>
      </c>
    </row>
    <row r="48" spans="2:12" ht="15" customHeight="1">
      <c r="B48" s="9" t="s">
        <v>630</v>
      </c>
      <c r="D48" s="233">
        <v>250</v>
      </c>
      <c r="E48" s="231"/>
      <c r="F48" s="233">
        <v>250</v>
      </c>
      <c r="G48" s="231"/>
      <c r="H48" s="232">
        <v>0</v>
      </c>
      <c r="I48" s="209"/>
      <c r="J48" s="232">
        <f>+SUM(D48:F48)</f>
        <v>500</v>
      </c>
      <c r="K48" s="209"/>
      <c r="L48" s="530">
        <v>500</v>
      </c>
    </row>
    <row r="49" spans="4:12" ht="15" customHeight="1">
      <c r="D49" s="206">
        <f>+D48+D47</f>
        <v>1125</v>
      </c>
      <c r="E49" s="209"/>
      <c r="F49" s="206">
        <f>+F48+F47</f>
        <v>1125</v>
      </c>
      <c r="G49" s="209"/>
      <c r="H49" s="206">
        <f>+H48+H47</f>
        <v>0</v>
      </c>
      <c r="I49" s="209"/>
      <c r="J49" s="206">
        <f>+J48+J47</f>
        <v>2250</v>
      </c>
      <c r="K49" s="209"/>
      <c r="L49" s="214">
        <f>+L48+L47</f>
        <v>1750</v>
      </c>
    </row>
    <row r="50" spans="4:12" ht="10.5" customHeight="1">
      <c r="D50" s="231"/>
      <c r="E50" s="231"/>
      <c r="F50" s="231"/>
      <c r="G50" s="231"/>
      <c r="H50" s="231"/>
      <c r="I50" s="231"/>
      <c r="J50" s="214"/>
      <c r="K50" s="231"/>
      <c r="L50" s="137"/>
    </row>
    <row r="51" spans="2:12" ht="15" customHeight="1">
      <c r="B51" s="10" t="s">
        <v>165</v>
      </c>
      <c r="D51" s="322"/>
      <c r="E51" s="528"/>
      <c r="F51" s="322"/>
      <c r="G51" s="528"/>
      <c r="H51" s="322"/>
      <c r="I51" s="528"/>
      <c r="J51" s="322"/>
      <c r="K51" s="528"/>
      <c r="L51" s="137"/>
    </row>
    <row r="52" spans="2:12" ht="15" customHeight="1">
      <c r="B52" s="10" t="s">
        <v>167</v>
      </c>
      <c r="D52" s="322"/>
      <c r="E52" s="528"/>
      <c r="F52" s="322"/>
      <c r="G52" s="528"/>
      <c r="H52" s="322"/>
      <c r="I52" s="528"/>
      <c r="J52" s="322"/>
      <c r="K52" s="528"/>
      <c r="L52" s="137"/>
    </row>
    <row r="53" spans="4:12" ht="15" customHeight="1">
      <c r="D53" s="322"/>
      <c r="E53" s="528"/>
      <c r="F53" s="322"/>
      <c r="G53" s="528"/>
      <c r="H53" s="322"/>
      <c r="I53" s="528"/>
      <c r="J53" s="322"/>
      <c r="K53" s="528"/>
      <c r="L53" s="137"/>
    </row>
    <row r="54" spans="2:12" ht="15" customHeight="1">
      <c r="B54" s="9" t="s">
        <v>629</v>
      </c>
      <c r="D54" s="322">
        <v>0</v>
      </c>
      <c r="E54" s="528"/>
      <c r="F54" s="322">
        <v>0</v>
      </c>
      <c r="G54" s="528"/>
      <c r="H54" s="322">
        <v>75</v>
      </c>
      <c r="I54" s="528"/>
      <c r="J54" s="291">
        <f>SUM(D54:H54)</f>
        <v>75</v>
      </c>
      <c r="K54" s="291"/>
      <c r="L54" s="137">
        <v>60</v>
      </c>
    </row>
    <row r="55" spans="2:12" ht="15" customHeight="1">
      <c r="B55" s="9" t="s">
        <v>630</v>
      </c>
      <c r="D55" s="530">
        <v>0</v>
      </c>
      <c r="E55" s="528"/>
      <c r="F55" s="530">
        <v>0</v>
      </c>
      <c r="G55" s="528"/>
      <c r="H55" s="530">
        <v>51</v>
      </c>
      <c r="I55" s="528"/>
      <c r="J55" s="529">
        <f>SUM(D55:H55)</f>
        <v>51</v>
      </c>
      <c r="K55" s="291"/>
      <c r="L55" s="535">
        <v>32</v>
      </c>
    </row>
    <row r="56" spans="4:12" ht="15" customHeight="1">
      <c r="D56" s="322">
        <f>SUM(D54:D55)</f>
        <v>0</v>
      </c>
      <c r="E56" s="528"/>
      <c r="F56" s="322">
        <f>SUM(F54:F55)</f>
        <v>0</v>
      </c>
      <c r="G56" s="528"/>
      <c r="H56" s="322">
        <f>SUM(H54:H55)</f>
        <v>126</v>
      </c>
      <c r="I56" s="528"/>
      <c r="J56" s="439">
        <f>SUM(J54:J55)</f>
        <v>126</v>
      </c>
      <c r="K56" s="291"/>
      <c r="L56" s="322">
        <f>SUM(L54:L55)</f>
        <v>92</v>
      </c>
    </row>
    <row r="57" spans="4:12" ht="15" customHeight="1" thickBot="1">
      <c r="D57" s="520">
        <f>'NOTE 40 - 41.1 '!D44+'NOTE 40 - 41.1 '!D49+D56</f>
        <v>2100</v>
      </c>
      <c r="E57" s="291"/>
      <c r="F57" s="520">
        <f>'NOTE 40 - 41.1 '!F44+'NOTE 40 - 41.1 '!F49+F56</f>
        <v>2100</v>
      </c>
      <c r="G57" s="291"/>
      <c r="H57" s="520">
        <f>'NOTE 40 - 41.1 '!H44+'NOTE 40 - 41.1 '!H49+H56</f>
        <v>126</v>
      </c>
      <c r="I57" s="291"/>
      <c r="J57" s="520">
        <f>'NOTE 40 - 41.1 '!J44+'NOTE 40 - 41.1 '!J49+J56</f>
        <v>4326</v>
      </c>
      <c r="K57" s="291"/>
      <c r="L57" s="520">
        <f>'NOTE 40 - 41.1 '!L44+'NOTE 40 - 41.1 '!L49+L56</f>
        <v>3292</v>
      </c>
    </row>
    <row r="58" ht="15" customHeight="1" thickTop="1"/>
  </sheetData>
  <mergeCells count="1">
    <mergeCell ref="J7:L7"/>
  </mergeCells>
  <printOptions/>
  <pageMargins left="0.75" right="0.5" top="1" bottom="0.71" header="0.5" footer="0.5"/>
  <pageSetup fitToHeight="1" fitToWidth="1" horizontalDpi="600" verticalDpi="600" orientation="portrait" paperSize="9" scale="85" r:id="rId1"/>
  <rowBreaks count="1" manualBreakCount="1">
    <brk id="34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SheetLayoutView="100" workbookViewId="0" topLeftCell="A28">
      <selection activeCell="C12" sqref="C12"/>
    </sheetView>
  </sheetViews>
  <sheetFormatPr defaultColWidth="9.140625" defaultRowHeight="12.75"/>
  <cols>
    <col min="1" max="1" width="7.28125" style="2" customWidth="1"/>
    <col min="2" max="2" width="2.28125" style="2" customWidth="1"/>
    <col min="3" max="3" width="12.57421875" style="2" customWidth="1"/>
    <col min="4" max="4" width="1.8515625" style="2" customWidth="1"/>
    <col min="5" max="5" width="11.7109375" style="2" customWidth="1"/>
    <col min="6" max="6" width="1.7109375" style="2" customWidth="1"/>
    <col min="7" max="7" width="11.28125" style="2" customWidth="1"/>
    <col min="8" max="8" width="0.85546875" style="2" customWidth="1"/>
    <col min="9" max="9" width="14.57421875" style="2" customWidth="1"/>
    <col min="10" max="10" width="0.85546875" style="2" customWidth="1"/>
    <col min="11" max="11" width="13.7109375" style="2" customWidth="1"/>
    <col min="12" max="12" width="0.85546875" style="2" customWidth="1"/>
    <col min="13" max="13" width="11.7109375" style="2" customWidth="1"/>
    <col min="14" max="14" width="8.00390625" style="2" customWidth="1"/>
    <col min="15" max="15" width="9.421875" style="2" bestFit="1" customWidth="1"/>
    <col min="16" max="16384" width="9.140625" style="2" customWidth="1"/>
  </cols>
  <sheetData>
    <row r="1" spans="1:3" ht="15">
      <c r="A1" s="165" t="s">
        <v>112</v>
      </c>
      <c r="B1" s="155" t="s">
        <v>853</v>
      </c>
      <c r="C1" s="155"/>
    </row>
    <row r="2" spans="1:3" ht="15">
      <c r="A2" s="165" t="s">
        <v>113</v>
      </c>
      <c r="B2" s="143" t="s">
        <v>268</v>
      </c>
      <c r="C2" s="143"/>
    </row>
    <row r="3" spans="1:3" ht="15">
      <c r="A3" s="164"/>
      <c r="B3" s="198" t="s">
        <v>53</v>
      </c>
      <c r="C3" s="174" t="s">
        <v>39</v>
      </c>
    </row>
    <row r="4" spans="1:3" ht="15">
      <c r="A4" s="164"/>
      <c r="B4" s="198"/>
      <c r="C4" s="174" t="s">
        <v>40</v>
      </c>
    </row>
    <row r="5" spans="1:3" ht="15">
      <c r="A5" s="164"/>
      <c r="B5" s="175" t="s">
        <v>97</v>
      </c>
      <c r="C5" s="143" t="s">
        <v>54</v>
      </c>
    </row>
    <row r="6" spans="1:3" ht="15">
      <c r="A6" s="164"/>
      <c r="B6" s="175" t="s">
        <v>97</v>
      </c>
      <c r="C6" s="143" t="s">
        <v>55</v>
      </c>
    </row>
    <row r="7" spans="1:3" ht="15">
      <c r="A7" s="164"/>
      <c r="B7" s="175" t="s">
        <v>97</v>
      </c>
      <c r="C7" s="143" t="s">
        <v>56</v>
      </c>
    </row>
    <row r="8" spans="1:3" ht="6.75" customHeight="1">
      <c r="A8" s="164"/>
      <c r="B8" s="134"/>
      <c r="C8" s="134"/>
    </row>
    <row r="9" spans="1:3" ht="15">
      <c r="A9" s="30"/>
      <c r="B9" s="174" t="s">
        <v>60</v>
      </c>
      <c r="C9" s="174"/>
    </row>
    <row r="10" spans="1:3" ht="15">
      <c r="A10" s="30"/>
      <c r="B10" s="9" t="s">
        <v>344</v>
      </c>
      <c r="C10" s="9"/>
    </row>
    <row r="11" spans="1:3" ht="10.5" customHeight="1">
      <c r="A11" s="30"/>
      <c r="B11" s="9"/>
      <c r="C11" s="9"/>
    </row>
    <row r="12" spans="1:3" ht="15">
      <c r="A12" s="30"/>
      <c r="B12" s="28" t="s">
        <v>97</v>
      </c>
      <c r="C12" s="9" t="s">
        <v>269</v>
      </c>
    </row>
    <row r="13" spans="1:3" ht="15">
      <c r="A13" s="30"/>
      <c r="B13" s="153" t="s">
        <v>97</v>
      </c>
      <c r="C13" s="9" t="s">
        <v>270</v>
      </c>
    </row>
    <row r="14" spans="1:3" ht="15">
      <c r="A14" s="30"/>
      <c r="B14" s="28" t="s">
        <v>97</v>
      </c>
      <c r="C14" s="9" t="s">
        <v>271</v>
      </c>
    </row>
    <row r="15" ht="6.75" customHeight="1"/>
    <row r="16" spans="1:2" ht="15">
      <c r="A16" s="165" t="s">
        <v>114</v>
      </c>
      <c r="B16" s="183" t="s">
        <v>856</v>
      </c>
    </row>
    <row r="17" spans="1:2" ht="15">
      <c r="A17" s="134"/>
      <c r="B17" s="143" t="s">
        <v>58</v>
      </c>
    </row>
    <row r="18" spans="1:2" ht="15">
      <c r="A18" s="9"/>
      <c r="B18" s="143" t="s">
        <v>282</v>
      </c>
    </row>
    <row r="19" ht="15">
      <c r="B19" s="2" t="s">
        <v>59</v>
      </c>
    </row>
    <row r="20" spans="7:13" ht="15">
      <c r="G20" s="389"/>
      <c r="H20" s="389"/>
      <c r="I20" s="389">
        <v>2006</v>
      </c>
      <c r="J20" s="372"/>
      <c r="K20" s="373"/>
      <c r="M20" s="373">
        <v>2005</v>
      </c>
    </row>
    <row r="21" spans="7:13" ht="15" customHeight="1">
      <c r="G21" s="566" t="s">
        <v>178</v>
      </c>
      <c r="H21" s="390"/>
      <c r="I21" s="590" t="s">
        <v>57</v>
      </c>
      <c r="J21" s="382"/>
      <c r="K21" s="592" t="s">
        <v>857</v>
      </c>
      <c r="L21" s="382"/>
      <c r="M21" s="592" t="s">
        <v>857</v>
      </c>
    </row>
    <row r="22" spans="7:13" ht="15" customHeight="1">
      <c r="G22" s="566"/>
      <c r="H22" s="390"/>
      <c r="I22" s="591"/>
      <c r="J22" s="382"/>
      <c r="K22" s="592"/>
      <c r="L22" s="382"/>
      <c r="M22" s="592"/>
    </row>
    <row r="23" spans="7:13" ht="15" customHeight="1">
      <c r="G23" s="566"/>
      <c r="H23" s="390"/>
      <c r="I23" s="591"/>
      <c r="J23" s="382"/>
      <c r="K23" s="592"/>
      <c r="L23" s="382"/>
      <c r="M23" s="592"/>
    </row>
    <row r="24" spans="7:13" ht="15" customHeight="1">
      <c r="G24" s="566"/>
      <c r="H24" s="390"/>
      <c r="I24" s="592"/>
      <c r="J24" s="382"/>
      <c r="K24" s="592"/>
      <c r="L24" s="382"/>
      <c r="M24" s="592"/>
    </row>
    <row r="25" spans="7:13" ht="15">
      <c r="G25" s="566"/>
      <c r="H25" s="390"/>
      <c r="I25" s="592"/>
      <c r="J25" s="382"/>
      <c r="K25" s="592"/>
      <c r="L25" s="382"/>
      <c r="M25" s="592"/>
    </row>
    <row r="26" spans="7:13" ht="15">
      <c r="G26" s="566"/>
      <c r="H26" s="390"/>
      <c r="I26" s="592"/>
      <c r="J26" s="382"/>
      <c r="K26" s="592"/>
      <c r="L26" s="382"/>
      <c r="M26" s="592"/>
    </row>
    <row r="27" spans="8:13" ht="15">
      <c r="H27" s="390"/>
      <c r="J27" s="21" t="s">
        <v>14</v>
      </c>
      <c r="L27" s="333"/>
      <c r="M27" s="333"/>
    </row>
    <row r="28" ht="10.5" customHeight="1"/>
    <row r="29" spans="2:14" ht="15">
      <c r="B29" s="377" t="s">
        <v>179</v>
      </c>
      <c r="G29" s="537">
        <f>16194+58485</f>
        <v>74679</v>
      </c>
      <c r="H29" s="537"/>
      <c r="I29" s="537">
        <f>-909+5858</f>
        <v>4949</v>
      </c>
      <c r="J29" s="537"/>
      <c r="K29" s="206">
        <f>SUM(G29:I29)</f>
        <v>79628</v>
      </c>
      <c r="L29" s="214"/>
      <c r="M29" s="536">
        <v>87000</v>
      </c>
      <c r="N29" s="55"/>
    </row>
    <row r="30" spans="2:13" ht="15">
      <c r="B30" s="377" t="s">
        <v>747</v>
      </c>
      <c r="G30" s="537">
        <f>3425571+5008968</f>
        <v>8434539</v>
      </c>
      <c r="H30" s="537"/>
      <c r="I30" s="537">
        <f>-370818-6375</f>
        <v>-377193</v>
      </c>
      <c r="J30" s="537"/>
      <c r="K30" s="206">
        <f>SUM(G30:I30)</f>
        <v>8057346</v>
      </c>
      <c r="L30" s="214"/>
      <c r="M30" s="536">
        <v>7397000</v>
      </c>
    </row>
    <row r="31" spans="2:13" ht="15">
      <c r="B31" s="377" t="s">
        <v>511</v>
      </c>
      <c r="G31" s="537">
        <f>374594+710081</f>
        <v>1084675</v>
      </c>
      <c r="H31" s="537"/>
      <c r="I31" s="537">
        <f>-130827+5498</f>
        <v>-125329</v>
      </c>
      <c r="J31" s="537"/>
      <c r="K31" s="206">
        <f>SUM(G31:I31)</f>
        <v>959346</v>
      </c>
      <c r="L31" s="214"/>
      <c r="M31" s="536">
        <v>866000</v>
      </c>
    </row>
    <row r="32" spans="2:13" ht="15">
      <c r="B32" s="377" t="s">
        <v>748</v>
      </c>
      <c r="G32" s="537">
        <f>1659632+1204321</f>
        <v>2863953</v>
      </c>
      <c r="H32" s="537"/>
      <c r="I32" s="537">
        <f>-1385808-765277</f>
        <v>-2151085</v>
      </c>
      <c r="J32" s="537"/>
      <c r="K32" s="206">
        <f>SUM(G32:I32)</f>
        <v>712868</v>
      </c>
      <c r="L32" s="214"/>
      <c r="M32" s="536">
        <v>431000</v>
      </c>
    </row>
    <row r="33" spans="7:13" ht="15.75" thickBot="1">
      <c r="G33" s="278">
        <f>SUM(G29:G32)</f>
        <v>12457846</v>
      </c>
      <c r="H33" s="537"/>
      <c r="I33" s="278">
        <f>SUM(I29:I32)</f>
        <v>-2648658</v>
      </c>
      <c r="J33" s="537"/>
      <c r="K33" s="277">
        <f>SUM(K29:K32)</f>
        <v>9809188</v>
      </c>
      <c r="L33" s="537"/>
      <c r="M33" s="278">
        <f>SUM(M29:M32)</f>
        <v>8781000</v>
      </c>
    </row>
    <row r="34" ht="10.5" customHeight="1" thickTop="1"/>
    <row r="35" spans="1:16" ht="15">
      <c r="A35" s="142" t="s">
        <v>115</v>
      </c>
      <c r="B35" s="104" t="s">
        <v>416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0.5" customHeight="1">
      <c r="A36" s="14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5" ht="29.25" customHeight="1">
      <c r="A37" s="9"/>
      <c r="B37" s="137"/>
      <c r="C37" s="137"/>
      <c r="D37" s="137"/>
      <c r="E37" s="391" t="s">
        <v>46</v>
      </c>
      <c r="F37" s="391"/>
      <c r="G37" s="391" t="s">
        <v>45</v>
      </c>
      <c r="H37" s="391"/>
      <c r="I37" s="391" t="s">
        <v>48</v>
      </c>
      <c r="J37" s="391"/>
      <c r="K37" s="117" t="s">
        <v>865</v>
      </c>
      <c r="L37" s="117"/>
      <c r="M37" s="391" t="s">
        <v>46</v>
      </c>
      <c r="O37" s="117"/>
    </row>
    <row r="38" spans="1:15" ht="15">
      <c r="A38" s="9"/>
      <c r="B38" s="137"/>
      <c r="C38" s="137"/>
      <c r="D38" s="137"/>
      <c r="E38" s="391" t="s">
        <v>47</v>
      </c>
      <c r="F38" s="391"/>
      <c r="G38" s="392" t="s">
        <v>116</v>
      </c>
      <c r="H38" s="391"/>
      <c r="I38" s="391" t="s">
        <v>479</v>
      </c>
      <c r="J38" s="391"/>
      <c r="K38" s="117"/>
      <c r="L38" s="117"/>
      <c r="M38" s="391" t="s">
        <v>47</v>
      </c>
      <c r="O38" s="117"/>
    </row>
    <row r="39" spans="1:15" ht="15">
      <c r="A39" s="9"/>
      <c r="B39" s="137"/>
      <c r="C39" s="137"/>
      <c r="D39" s="137"/>
      <c r="E39" s="484" t="s">
        <v>781</v>
      </c>
      <c r="F39" s="391"/>
      <c r="H39" s="391"/>
      <c r="I39" s="391"/>
      <c r="J39" s="391"/>
      <c r="K39" s="117"/>
      <c r="L39" s="117"/>
      <c r="M39" s="484" t="s">
        <v>438</v>
      </c>
      <c r="O39" s="117"/>
    </row>
    <row r="40" spans="1:15" ht="15">
      <c r="A40" s="9"/>
      <c r="B40" s="137"/>
      <c r="C40" s="137"/>
      <c r="D40" s="137"/>
      <c r="E40" s="391"/>
      <c r="F40" s="391"/>
      <c r="G40" s="391"/>
      <c r="H40" s="391"/>
      <c r="I40" s="21" t="s">
        <v>13</v>
      </c>
      <c r="J40" s="196"/>
      <c r="K40" s="117"/>
      <c r="L40" s="117"/>
      <c r="M40" s="391"/>
      <c r="O40" s="117"/>
    </row>
    <row r="41" spans="1:15" ht="10.5" customHeight="1">
      <c r="A41" s="9"/>
      <c r="B41" s="137"/>
      <c r="C41" s="137"/>
      <c r="D41" s="137"/>
      <c r="E41" s="137"/>
      <c r="F41" s="137"/>
      <c r="G41" s="137"/>
      <c r="H41" s="137"/>
      <c r="I41" s="17"/>
      <c r="J41" s="17"/>
      <c r="K41" s="9"/>
      <c r="L41" s="9"/>
      <c r="M41" s="29"/>
      <c r="O41" s="17"/>
    </row>
    <row r="42" spans="1:15" ht="15">
      <c r="A42" s="9"/>
      <c r="B42" s="137" t="s">
        <v>746</v>
      </c>
      <c r="C42" s="137"/>
      <c r="D42" s="137"/>
      <c r="E42" s="214">
        <f>16000+71000</f>
        <v>87000</v>
      </c>
      <c r="F42" s="214"/>
      <c r="G42" s="214">
        <v>13903</v>
      </c>
      <c r="H42" s="214"/>
      <c r="I42" s="214">
        <f>-3970-17305+441</f>
        <v>-20834</v>
      </c>
      <c r="J42" s="214"/>
      <c r="K42" s="214">
        <v>0</v>
      </c>
      <c r="L42" s="214"/>
      <c r="M42" s="231">
        <f>E42+G42+I42+K42</f>
        <v>80069</v>
      </c>
      <c r="O42" s="32"/>
    </row>
    <row r="43" spans="1:15" ht="15">
      <c r="A43" s="9"/>
      <c r="B43" s="137" t="s">
        <v>747</v>
      </c>
      <c r="C43" s="137"/>
      <c r="D43" s="137"/>
      <c r="E43" s="214">
        <f>2961000+4436000</f>
        <v>7397000</v>
      </c>
      <c r="F43" s="214"/>
      <c r="G43" s="214">
        <v>1231708</v>
      </c>
      <c r="H43" s="214"/>
      <c r="I43" s="214">
        <f>-376046-195316</f>
        <v>-571362</v>
      </c>
      <c r="J43" s="214"/>
      <c r="K43" s="214">
        <v>0</v>
      </c>
      <c r="L43" s="214"/>
      <c r="M43" s="231">
        <f>E43+G43+I43+K43</f>
        <v>8057346</v>
      </c>
      <c r="O43" s="32"/>
    </row>
    <row r="44" spans="1:15" ht="15">
      <c r="A44" s="9"/>
      <c r="B44" s="137" t="s">
        <v>511</v>
      </c>
      <c r="C44" s="137"/>
      <c r="D44" s="137"/>
      <c r="E44" s="214">
        <f>239000+627000</f>
        <v>866000</v>
      </c>
      <c r="F44" s="214"/>
      <c r="G44" s="214">
        <v>146877</v>
      </c>
      <c r="H44" s="214"/>
      <c r="I44" s="214">
        <f>-53023-13315</f>
        <v>-66338</v>
      </c>
      <c r="J44" s="214"/>
      <c r="K44" s="214">
        <f>2412+10395</f>
        <v>12807</v>
      </c>
      <c r="L44" s="214"/>
      <c r="M44" s="231">
        <f>E44+G44+I44+K44</f>
        <v>959346</v>
      </c>
      <c r="O44" s="32"/>
    </row>
    <row r="45" spans="1:15" ht="15">
      <c r="A45" s="9"/>
      <c r="B45" s="137" t="s">
        <v>349</v>
      </c>
      <c r="C45" s="137"/>
      <c r="D45" s="137"/>
      <c r="E45" s="214"/>
      <c r="F45" s="214"/>
      <c r="G45" s="214"/>
      <c r="H45" s="214"/>
      <c r="I45" s="214"/>
      <c r="J45" s="214"/>
      <c r="K45" s="214"/>
      <c r="L45" s="214"/>
      <c r="M45" s="231"/>
      <c r="O45" s="32"/>
    </row>
    <row r="46" spans="1:15" ht="15">
      <c r="A46" s="9"/>
      <c r="B46" s="137" t="s">
        <v>350</v>
      </c>
      <c r="C46" s="137"/>
      <c r="D46" s="137"/>
      <c r="E46" s="214">
        <f>164000+277000</f>
        <v>441000</v>
      </c>
      <c r="F46" s="214"/>
      <c r="G46" s="214">
        <v>417556</v>
      </c>
      <c r="H46" s="214"/>
      <c r="I46" s="214">
        <f>-136992-8696</f>
        <v>-145688</v>
      </c>
      <c r="J46" s="214"/>
      <c r="K46" s="214">
        <v>0</v>
      </c>
      <c r="L46" s="214"/>
      <c r="M46" s="231">
        <f>E46+G46+I46+K46</f>
        <v>712868</v>
      </c>
      <c r="O46" s="32"/>
    </row>
    <row r="47" spans="1:15" ht="15.75" thickBot="1">
      <c r="A47" s="9"/>
      <c r="B47" s="137"/>
      <c r="C47" s="144">
        <v>2006</v>
      </c>
      <c r="D47" s="137"/>
      <c r="E47" s="499">
        <f>SUM(E42:E46)</f>
        <v>8791000</v>
      </c>
      <c r="F47" s="499"/>
      <c r="G47" s="499">
        <f>SUM(G42:G46)</f>
        <v>1810044</v>
      </c>
      <c r="H47" s="499"/>
      <c r="I47" s="499">
        <f>SUM(I42:I46)</f>
        <v>-804222</v>
      </c>
      <c r="J47" s="499"/>
      <c r="K47" s="499">
        <f>SUM(K42:K46)</f>
        <v>12807</v>
      </c>
      <c r="L47" s="499"/>
      <c r="M47" s="499">
        <f>+M46+M44+M43+M42</f>
        <v>9809629</v>
      </c>
      <c r="O47" s="320"/>
    </row>
    <row r="48" spans="3:13" ht="16.5" thickBot="1" thickTop="1">
      <c r="C48" s="2">
        <v>2005</v>
      </c>
      <c r="E48" s="538">
        <v>8244579</v>
      </c>
      <c r="F48" s="538"/>
      <c r="G48" s="538">
        <v>1096000</v>
      </c>
      <c r="H48" s="538"/>
      <c r="I48" s="539">
        <v>-552108</v>
      </c>
      <c r="J48" s="540"/>
      <c r="K48" s="540">
        <v>2000</v>
      </c>
      <c r="L48" s="540"/>
      <c r="M48" s="540">
        <f>SUM(E48:L48)</f>
        <v>8790471</v>
      </c>
    </row>
    <row r="49" ht="15.75" thickTop="1">
      <c r="N49" s="79"/>
    </row>
    <row r="50" ht="15">
      <c r="M50" s="79"/>
    </row>
    <row r="52" ht="15">
      <c r="M52" s="55"/>
    </row>
  </sheetData>
  <mergeCells count="4">
    <mergeCell ref="G21:G26"/>
    <mergeCell ref="I21:I26"/>
    <mergeCell ref="K21:K26"/>
    <mergeCell ref="M21:M26"/>
  </mergeCells>
  <printOptions/>
  <pageMargins left="0.75" right="0.5" top="0.81" bottom="0.79" header="0.5" footer="0.5"/>
  <pageSetup horizontalDpi="600" verticalDpi="600" orientation="portrait" paperSize="9" scale="99" r:id="rId1"/>
  <rowBreaks count="1" manualBreakCount="1">
    <brk id="48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O42"/>
  <sheetViews>
    <sheetView view="pageBreakPreview" zoomScaleSheetLayoutView="100" workbookViewId="0" topLeftCell="A16">
      <selection activeCell="B10" sqref="B10"/>
    </sheetView>
  </sheetViews>
  <sheetFormatPr defaultColWidth="9.140625" defaultRowHeight="12.75"/>
  <cols>
    <col min="1" max="1" width="5.7109375" style="9" customWidth="1"/>
    <col min="2" max="2" width="12.57421875" style="9" customWidth="1"/>
    <col min="3" max="3" width="3.421875" style="9" customWidth="1"/>
    <col min="4" max="4" width="3.57421875" style="9" customWidth="1"/>
    <col min="5" max="5" width="6.421875" style="37" customWidth="1"/>
    <col min="6" max="6" width="1.7109375" style="37" customWidth="1"/>
    <col min="7" max="7" width="11.140625" style="37" customWidth="1"/>
    <col min="8" max="8" width="12.140625" style="37" customWidth="1"/>
    <col min="9" max="9" width="13.7109375" style="37" customWidth="1"/>
    <col min="10" max="10" width="13.00390625" style="37" customWidth="1"/>
    <col min="11" max="11" width="0.85546875" style="37" customWidth="1"/>
    <col min="12" max="12" width="16.8515625" style="9" customWidth="1"/>
    <col min="13" max="13" width="0" style="9" hidden="1" customWidth="1"/>
    <col min="14" max="14" width="4.140625" style="9" customWidth="1"/>
    <col min="15" max="16384" width="9.140625" style="9" customWidth="1"/>
  </cols>
  <sheetData>
    <row r="1" spans="1:11" ht="15">
      <c r="A1" s="165" t="s">
        <v>117</v>
      </c>
      <c r="B1" s="183" t="s">
        <v>858</v>
      </c>
      <c r="C1" s="134"/>
      <c r="D1" s="134"/>
      <c r="E1" s="166"/>
      <c r="F1" s="166"/>
      <c r="G1" s="166"/>
      <c r="H1" s="52"/>
      <c r="I1" s="52"/>
      <c r="J1" s="52"/>
      <c r="K1" s="52"/>
    </row>
    <row r="2" spans="1:11" ht="8.25" customHeight="1">
      <c r="A2" s="134"/>
      <c r="B2" s="134"/>
      <c r="C2" s="134"/>
      <c r="D2" s="134"/>
      <c r="E2" s="166"/>
      <c r="F2" s="166"/>
      <c r="G2" s="166"/>
      <c r="H2" s="166"/>
      <c r="I2" s="166"/>
      <c r="J2" s="166"/>
      <c r="K2" s="166"/>
    </row>
    <row r="3" spans="1:11" ht="15">
      <c r="A3" s="134"/>
      <c r="B3" s="143" t="s">
        <v>420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5" customHeight="1">
      <c r="A4" s="134"/>
      <c r="B4" s="374" t="s">
        <v>421</v>
      </c>
      <c r="C4" s="134"/>
      <c r="D4" s="134"/>
      <c r="E4" s="166"/>
      <c r="F4" s="166"/>
      <c r="G4" s="166"/>
      <c r="H4" s="166"/>
      <c r="I4" s="166"/>
      <c r="J4" s="166"/>
      <c r="K4" s="166"/>
    </row>
    <row r="5" spans="1:12" ht="42.75">
      <c r="A5" s="134"/>
      <c r="B5" s="134"/>
      <c r="C5" s="134"/>
      <c r="G5" s="381" t="s">
        <v>180</v>
      </c>
      <c r="H5" s="381" t="s">
        <v>181</v>
      </c>
      <c r="I5" s="381" t="s">
        <v>439</v>
      </c>
      <c r="J5" s="381" t="s">
        <v>860</v>
      </c>
      <c r="K5" s="381"/>
      <c r="L5" s="381" t="s">
        <v>379</v>
      </c>
    </row>
    <row r="6" spans="1:12" ht="15">
      <c r="A6" s="134"/>
      <c r="B6" s="134"/>
      <c r="C6" s="164"/>
      <c r="H6" s="387"/>
      <c r="I6" s="387" t="s">
        <v>417</v>
      </c>
      <c r="J6" s="387"/>
      <c r="K6" s="387"/>
      <c r="L6" s="387"/>
    </row>
    <row r="7" spans="1:12" ht="15">
      <c r="A7" s="134"/>
      <c r="B7" s="134"/>
      <c r="C7" s="164"/>
      <c r="G7" s="387"/>
      <c r="H7" s="325"/>
      <c r="I7" s="325"/>
      <c r="J7" s="325"/>
      <c r="K7" s="325"/>
      <c r="L7" s="325"/>
    </row>
    <row r="8" spans="1:15" ht="15">
      <c r="A8" s="134"/>
      <c r="B8" s="377" t="s">
        <v>179</v>
      </c>
      <c r="C8" s="377"/>
      <c r="G8" s="231">
        <f>535+2270</f>
        <v>2805</v>
      </c>
      <c r="H8" s="537">
        <f>1875+7654</f>
        <v>9529</v>
      </c>
      <c r="I8" s="231">
        <f>845+724</f>
        <v>1569</v>
      </c>
      <c r="J8" s="214">
        <v>0</v>
      </c>
      <c r="K8" s="214"/>
      <c r="L8" s="206">
        <f>SUM(G8:J8)</f>
        <v>13903</v>
      </c>
      <c r="M8" s="37"/>
      <c r="N8" s="37"/>
      <c r="O8" s="37"/>
    </row>
    <row r="9" spans="1:15" ht="15">
      <c r="A9" s="134"/>
      <c r="B9" s="377" t="s">
        <v>747</v>
      </c>
      <c r="C9" s="377"/>
      <c r="G9" s="231">
        <f>47612+191412</f>
        <v>239024</v>
      </c>
      <c r="H9" s="231">
        <f>384402+544003</f>
        <v>928405</v>
      </c>
      <c r="I9" s="537">
        <f>37785+26494</f>
        <v>64279</v>
      </c>
      <c r="J9" s="214">
        <v>0</v>
      </c>
      <c r="K9" s="214"/>
      <c r="L9" s="206">
        <f>SUM(G9:J9)</f>
        <v>1231708</v>
      </c>
      <c r="M9" s="37"/>
      <c r="N9" s="37"/>
      <c r="O9" s="37"/>
    </row>
    <row r="10" spans="1:15" ht="15">
      <c r="A10" s="134"/>
      <c r="B10" s="377" t="s">
        <v>82</v>
      </c>
      <c r="C10" s="377"/>
      <c r="G10" s="231">
        <f>6096+29528</f>
        <v>35624</v>
      </c>
      <c r="H10" s="537">
        <f>41350+72335</f>
        <v>113685</v>
      </c>
      <c r="I10" s="537">
        <f>10344+31</f>
        <v>10375</v>
      </c>
      <c r="J10" s="214">
        <f>-2412-10395</f>
        <v>-12807</v>
      </c>
      <c r="K10" s="214"/>
      <c r="L10" s="206">
        <f>SUM(G10:J10)</f>
        <v>146877</v>
      </c>
      <c r="M10" s="37"/>
      <c r="N10" s="37"/>
      <c r="O10" s="37"/>
    </row>
    <row r="11" spans="1:15" ht="15">
      <c r="A11" s="134"/>
      <c r="B11" s="377" t="s">
        <v>748</v>
      </c>
      <c r="C11" s="377"/>
      <c r="G11" s="231">
        <f>7489+37549</f>
        <v>45038</v>
      </c>
      <c r="H11" s="537">
        <f>157047+93413</f>
        <v>250460</v>
      </c>
      <c r="I11" s="537">
        <f>82280+39778</f>
        <v>122058</v>
      </c>
      <c r="J11" s="214">
        <v>0</v>
      </c>
      <c r="K11" s="214"/>
      <c r="L11" s="206">
        <f>SUM(G11:J11)</f>
        <v>417556</v>
      </c>
      <c r="M11" s="37"/>
      <c r="N11" s="37"/>
      <c r="O11" s="37"/>
    </row>
    <row r="12" spans="1:15" ht="15.75" thickBot="1">
      <c r="A12" s="134"/>
      <c r="B12" s="134"/>
      <c r="C12" s="134"/>
      <c r="G12" s="278">
        <f>SUM(G8:G11)</f>
        <v>322491</v>
      </c>
      <c r="H12" s="278">
        <f>SUM(H8:H11)</f>
        <v>1302079</v>
      </c>
      <c r="I12" s="278">
        <f>SUM(I8:I11)</f>
        <v>198281</v>
      </c>
      <c r="J12" s="278">
        <f>SUM(J8:J11)</f>
        <v>-12807</v>
      </c>
      <c r="K12" s="278"/>
      <c r="L12" s="277">
        <f>SUM(L8:L11)</f>
        <v>1810044</v>
      </c>
      <c r="M12" s="37"/>
      <c r="N12" s="37"/>
      <c r="O12" s="37"/>
    </row>
    <row r="13" spans="1:15" ht="15.75" thickTop="1">
      <c r="A13" s="134"/>
      <c r="B13" s="134"/>
      <c r="C13" s="134"/>
      <c r="E13" s="52"/>
      <c r="F13" s="52"/>
      <c r="G13" s="52"/>
      <c r="H13" s="52"/>
      <c r="I13" s="52"/>
      <c r="J13" s="52"/>
      <c r="K13" s="52"/>
      <c r="L13" s="37"/>
      <c r="M13" s="37"/>
      <c r="N13" s="37"/>
      <c r="O13" s="37"/>
    </row>
    <row r="14" spans="1:11" ht="15" hidden="1">
      <c r="A14" s="134"/>
      <c r="B14" s="134"/>
      <c r="C14" s="134"/>
      <c r="D14" s="134"/>
      <c r="E14" s="166"/>
      <c r="F14" s="166"/>
      <c r="G14" s="166"/>
      <c r="H14" s="166"/>
      <c r="I14" s="166"/>
      <c r="J14" s="166"/>
      <c r="K14" s="166"/>
    </row>
    <row r="15" spans="1:11" ht="15">
      <c r="A15" s="105" t="s">
        <v>118</v>
      </c>
      <c r="B15" s="115" t="s">
        <v>182</v>
      </c>
      <c r="C15" s="134"/>
      <c r="D15" s="134"/>
      <c r="E15" s="166"/>
      <c r="F15" s="166"/>
      <c r="G15" s="166"/>
      <c r="H15" s="166"/>
      <c r="I15" s="166"/>
      <c r="J15" s="166"/>
      <c r="K15" s="166"/>
    </row>
    <row r="16" spans="1:11" ht="9.75" customHeight="1">
      <c r="A16" s="134"/>
      <c r="B16" s="134"/>
      <c r="C16" s="134"/>
      <c r="D16" s="134"/>
      <c r="E16" s="166"/>
      <c r="F16" s="166"/>
      <c r="G16" s="166"/>
      <c r="H16" s="166"/>
      <c r="I16" s="166"/>
      <c r="J16" s="166"/>
      <c r="K16" s="166"/>
    </row>
    <row r="17" spans="1:11" ht="15">
      <c r="A17" s="134"/>
      <c r="B17" s="143" t="s">
        <v>418</v>
      </c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5">
      <c r="A18" s="134"/>
      <c r="B18" s="308" t="s">
        <v>139</v>
      </c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5">
      <c r="A19" s="134"/>
      <c r="B19" s="143" t="s">
        <v>782</v>
      </c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15">
      <c r="A20" s="134"/>
      <c r="B20" s="143" t="s">
        <v>419</v>
      </c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5">
      <c r="A21" s="134"/>
      <c r="B21" s="164"/>
      <c r="C21" s="134"/>
      <c r="D21" s="134"/>
      <c r="E21" s="166"/>
      <c r="F21" s="166"/>
      <c r="G21" s="166"/>
      <c r="H21" s="166"/>
      <c r="I21" s="166"/>
      <c r="J21" s="166"/>
      <c r="K21" s="166"/>
    </row>
    <row r="22" spans="1:12" ht="15">
      <c r="A22" s="105" t="s">
        <v>944</v>
      </c>
      <c r="B22" s="10" t="s">
        <v>821</v>
      </c>
      <c r="C22" s="10"/>
      <c r="D22" s="10"/>
      <c r="E22" s="54"/>
      <c r="F22" s="54"/>
      <c r="G22" s="54"/>
      <c r="H22" s="54"/>
      <c r="I22" s="20"/>
      <c r="J22" s="23">
        <v>2006</v>
      </c>
      <c r="K22" s="9"/>
      <c r="L22" s="17">
        <v>2005</v>
      </c>
    </row>
    <row r="23" spans="3:12" ht="15">
      <c r="C23" s="10"/>
      <c r="D23" s="10"/>
      <c r="G23" s="376"/>
      <c r="H23" s="376"/>
      <c r="I23" s="9"/>
      <c r="J23" s="562" t="s">
        <v>320</v>
      </c>
      <c r="K23" s="562"/>
      <c r="L23" s="562"/>
    </row>
    <row r="24" spans="3:12" ht="9" customHeight="1">
      <c r="C24" s="10"/>
      <c r="D24" s="10"/>
      <c r="G24" s="376"/>
      <c r="H24" s="376"/>
      <c r="I24" s="9"/>
      <c r="J24" s="138"/>
      <c r="K24" s="138"/>
      <c r="L24" s="138"/>
    </row>
    <row r="25" spans="2:12" ht="15">
      <c r="B25" s="9" t="s">
        <v>503</v>
      </c>
      <c r="C25" s="10"/>
      <c r="D25" s="10"/>
      <c r="G25" s="376"/>
      <c r="H25" s="376"/>
      <c r="I25" s="9"/>
      <c r="J25" s="107">
        <v>2940.88027</v>
      </c>
      <c r="K25" s="41"/>
      <c r="L25" s="59">
        <v>504227</v>
      </c>
    </row>
    <row r="26" spans="2:12" ht="15">
      <c r="B26" s="9" t="s">
        <v>162</v>
      </c>
      <c r="C26" s="10"/>
      <c r="D26" s="10"/>
      <c r="G26" s="406"/>
      <c r="H26" s="407"/>
      <c r="I26" s="9"/>
      <c r="J26" s="107">
        <v>66880.975</v>
      </c>
      <c r="K26" s="41"/>
      <c r="L26" s="59">
        <v>0</v>
      </c>
    </row>
    <row r="27" spans="2:12" ht="15">
      <c r="B27" s="9" t="s">
        <v>892</v>
      </c>
      <c r="C27" s="10"/>
      <c r="D27" s="10"/>
      <c r="G27" s="376"/>
      <c r="H27" s="376"/>
      <c r="I27" s="20">
        <v>43.1</v>
      </c>
      <c r="J27" s="107">
        <v>3421587.3981999997</v>
      </c>
      <c r="K27" s="41"/>
      <c r="L27" s="59">
        <v>3559403</v>
      </c>
    </row>
    <row r="28" spans="2:12" ht="15">
      <c r="B28" s="474" t="s">
        <v>389</v>
      </c>
      <c r="C28" s="10"/>
      <c r="D28" s="10"/>
      <c r="G28" s="376"/>
      <c r="H28" s="376"/>
      <c r="I28" s="20"/>
      <c r="J28" s="107"/>
      <c r="K28" s="41"/>
      <c r="L28" s="59"/>
    </row>
    <row r="29" spans="2:12" ht="15">
      <c r="B29" s="9" t="s">
        <v>390</v>
      </c>
      <c r="C29" s="10"/>
      <c r="D29" s="10"/>
      <c r="G29" s="376"/>
      <c r="H29" s="376"/>
      <c r="I29" s="20"/>
      <c r="J29" s="107">
        <f>1181957+2363914</f>
        <v>3545871</v>
      </c>
      <c r="K29" s="41"/>
      <c r="L29" s="59">
        <v>0</v>
      </c>
    </row>
    <row r="30" spans="2:12" ht="15.75" customHeight="1">
      <c r="B30" s="9" t="s">
        <v>932</v>
      </c>
      <c r="C30" s="10"/>
      <c r="D30" s="10"/>
      <c r="G30" s="376"/>
      <c r="H30" s="376"/>
      <c r="I30" s="20">
        <v>29</v>
      </c>
      <c r="J30" s="107">
        <v>135696.685</v>
      </c>
      <c r="K30" s="41"/>
      <c r="L30" s="59">
        <v>92536</v>
      </c>
    </row>
    <row r="31" spans="2:14" ht="15">
      <c r="B31" s="9" t="s">
        <v>928</v>
      </c>
      <c r="I31" s="20"/>
      <c r="J31" s="89">
        <v>115886.69088</v>
      </c>
      <c r="K31" s="41"/>
      <c r="L31" s="41">
        <v>47810</v>
      </c>
      <c r="M31" s="37"/>
      <c r="N31" s="37"/>
    </row>
    <row r="32" spans="6:14" ht="15.75" thickBot="1">
      <c r="F32" s="56"/>
      <c r="I32" s="9"/>
      <c r="J32" s="91">
        <f>SUM(J25:J31)</f>
        <v>7288863.629349999</v>
      </c>
      <c r="K32" s="41"/>
      <c r="L32" s="50">
        <f>SUM(L25:L31)</f>
        <v>4203976</v>
      </c>
      <c r="M32" s="37"/>
      <c r="N32" s="37"/>
    </row>
    <row r="33" spans="6:14" ht="8.25" customHeight="1" thickTop="1">
      <c r="F33" s="56"/>
      <c r="M33" s="37"/>
      <c r="N33" s="37"/>
    </row>
    <row r="34" spans="1:14" ht="15">
      <c r="A34" s="105" t="s">
        <v>119</v>
      </c>
      <c r="B34" s="9" t="s">
        <v>683</v>
      </c>
      <c r="F34" s="56"/>
      <c r="G34" s="90"/>
      <c r="H34" s="90"/>
      <c r="I34" s="90"/>
      <c r="J34" s="90"/>
      <c r="K34" s="90"/>
      <c r="L34" s="56"/>
      <c r="M34" s="37"/>
      <c r="N34" s="37"/>
    </row>
    <row r="35" spans="2:14" ht="15">
      <c r="B35" s="9" t="s">
        <v>722</v>
      </c>
      <c r="F35" s="56"/>
      <c r="G35" s="90"/>
      <c r="H35" s="90"/>
      <c r="I35" s="90"/>
      <c r="J35" s="90"/>
      <c r="K35" s="90"/>
      <c r="L35" s="56"/>
      <c r="M35" s="37"/>
      <c r="N35" s="37"/>
    </row>
    <row r="36" spans="2:14" ht="15">
      <c r="B36" s="9" t="s">
        <v>723</v>
      </c>
      <c r="F36" s="56"/>
      <c r="M36" s="37"/>
      <c r="N36" s="37"/>
    </row>
    <row r="37" spans="6:14" ht="9.75" customHeight="1">
      <c r="F37" s="56"/>
      <c r="M37" s="37"/>
      <c r="N37" s="37"/>
    </row>
    <row r="38" spans="1:14" ht="15">
      <c r="A38" s="105" t="s">
        <v>945</v>
      </c>
      <c r="B38" s="10" t="s">
        <v>822</v>
      </c>
      <c r="M38" s="37"/>
      <c r="N38" s="37"/>
    </row>
    <row r="39" spans="6:11" ht="7.5" customHeight="1">
      <c r="F39" s="43"/>
      <c r="G39" s="43"/>
      <c r="H39" s="43"/>
      <c r="I39" s="43"/>
      <c r="J39" s="59"/>
      <c r="K39" s="59"/>
    </row>
    <row r="40" spans="2:13" ht="15">
      <c r="B40" s="9" t="s">
        <v>163</v>
      </c>
      <c r="J40" s="206">
        <v>462079.06875</v>
      </c>
      <c r="K40" s="214"/>
      <c r="L40" s="214">
        <v>335194</v>
      </c>
      <c r="M40" s="73"/>
    </row>
    <row r="41" spans="2:13" ht="15">
      <c r="B41" s="9" t="s">
        <v>928</v>
      </c>
      <c r="J41" s="206">
        <v>668</v>
      </c>
      <c r="K41" s="214"/>
      <c r="L41" s="214">
        <v>15</v>
      </c>
      <c r="M41" s="5">
        <f>L41-332658</f>
        <v>-332643</v>
      </c>
    </row>
    <row r="42" spans="10:12" ht="15.75" thickBot="1">
      <c r="J42" s="213">
        <f>SUM(J40:J41)</f>
        <v>462747.06875</v>
      </c>
      <c r="K42" s="214"/>
      <c r="L42" s="236">
        <f>SUM(L40:L41)</f>
        <v>335209</v>
      </c>
    </row>
    <row r="43" ht="15.75" thickTop="1"/>
  </sheetData>
  <mergeCells count="1">
    <mergeCell ref="J23:L23"/>
  </mergeCells>
  <printOptions/>
  <pageMargins left="0.75" right="0.5" top="1" bottom="0.75" header="0.5" footer="0.5"/>
  <pageSetup fitToHeight="1" fitToWidth="1" horizontalDpi="600" verticalDpi="600" orientation="portrait" paperSize="9" scale="88" r:id="rId1"/>
  <colBreaks count="1" manualBreakCount="1">
    <brk id="4" max="4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J28"/>
  <sheetViews>
    <sheetView view="pageBreakPreview" zoomScaleSheetLayoutView="100" workbookViewId="0" topLeftCell="A1">
      <selection activeCell="D31" sqref="D31"/>
    </sheetView>
  </sheetViews>
  <sheetFormatPr defaultColWidth="9.140625" defaultRowHeight="12.75"/>
  <cols>
    <col min="1" max="1" width="5.7109375" style="9" customWidth="1"/>
    <col min="2" max="2" width="47.7109375" style="9" customWidth="1"/>
    <col min="3" max="3" width="6.7109375" style="9" customWidth="1"/>
    <col min="4" max="4" width="13.7109375" style="9" customWidth="1"/>
    <col min="5" max="5" width="2.00390625" style="9" customWidth="1"/>
    <col min="6" max="6" width="13.7109375" style="9" customWidth="1"/>
    <col min="7" max="7" width="15.421875" style="9" hidden="1" customWidth="1"/>
    <col min="8" max="8" width="7.57421875" style="9" hidden="1" customWidth="1"/>
    <col min="9" max="9" width="12.7109375" style="9" hidden="1" customWidth="1"/>
    <col min="10" max="10" width="7.57421875" style="9" hidden="1" customWidth="1"/>
    <col min="11" max="16384" width="7.57421875" style="9" customWidth="1"/>
  </cols>
  <sheetData>
    <row r="1" spans="1:6" ht="15">
      <c r="A1" s="105" t="s">
        <v>69</v>
      </c>
      <c r="B1" s="10" t="s">
        <v>851</v>
      </c>
      <c r="C1" s="10"/>
      <c r="D1" s="23">
        <v>2006</v>
      </c>
      <c r="F1" s="17">
        <v>2005</v>
      </c>
    </row>
    <row r="2" spans="1:6" ht="15">
      <c r="A2" s="105"/>
      <c r="B2" s="10"/>
      <c r="C2" s="10"/>
      <c r="D2" s="562" t="s">
        <v>320</v>
      </c>
      <c r="E2" s="562"/>
      <c r="F2" s="562"/>
    </row>
    <row r="3" spans="4:6" ht="15">
      <c r="D3" s="97"/>
      <c r="E3" s="96"/>
      <c r="F3" s="96"/>
    </row>
    <row r="4" spans="2:9" ht="15">
      <c r="B4" s="9" t="s">
        <v>612</v>
      </c>
      <c r="D4" s="206">
        <f>'P AND L '!J33</f>
        <v>68183787.60810003</v>
      </c>
      <c r="E4" s="214"/>
      <c r="F4" s="214">
        <v>31049236</v>
      </c>
      <c r="G4" s="37">
        <f>32600655-D4</f>
        <v>-35583132.60810003</v>
      </c>
      <c r="I4" s="206">
        <v>64661821.28069003</v>
      </c>
    </row>
    <row r="5" spans="2:9" ht="15">
      <c r="B5" s="9" t="s">
        <v>613</v>
      </c>
      <c r="D5" s="206"/>
      <c r="E5" s="214"/>
      <c r="F5" s="214"/>
      <c r="I5" s="206"/>
    </row>
    <row r="6" spans="2:9" ht="15">
      <c r="B6" s="9" t="s">
        <v>930</v>
      </c>
      <c r="D6" s="206">
        <f>332029+67326+3739</f>
        <v>403094</v>
      </c>
      <c r="E6" s="214"/>
      <c r="F6" s="214">
        <v>397313</v>
      </c>
      <c r="I6" s="206">
        <v>332029</v>
      </c>
    </row>
    <row r="7" spans="2:9" ht="15">
      <c r="B7" s="9" t="s">
        <v>852</v>
      </c>
      <c r="D7" s="206">
        <f>'NOTE 40 - 41.1 '!J16</f>
        <v>69986.95974</v>
      </c>
      <c r="E7" s="214"/>
      <c r="F7" s="214">
        <v>45363</v>
      </c>
      <c r="I7" s="206">
        <v>77078.95973999999</v>
      </c>
    </row>
    <row r="8" spans="2:9" ht="15">
      <c r="B8" s="9" t="s">
        <v>932</v>
      </c>
      <c r="D8" s="206">
        <v>-135697</v>
      </c>
      <c r="E8" s="214"/>
      <c r="F8" s="214">
        <v>-92536</v>
      </c>
      <c r="I8" s="206">
        <v>-135697</v>
      </c>
    </row>
    <row r="9" spans="2:9" ht="15">
      <c r="B9" s="9" t="s">
        <v>817</v>
      </c>
      <c r="D9" s="206"/>
      <c r="E9" s="214"/>
      <c r="F9" s="214"/>
      <c r="I9" s="206"/>
    </row>
    <row r="10" spans="2:9" ht="15">
      <c r="B10" s="28" t="s">
        <v>818</v>
      </c>
      <c r="D10" s="206">
        <f>837509+1995838</f>
        <v>2833347</v>
      </c>
      <c r="E10" s="214"/>
      <c r="F10" s="214">
        <v>1385001</v>
      </c>
      <c r="I10" s="206">
        <v>848397</v>
      </c>
    </row>
    <row r="11" spans="2:9" ht="15">
      <c r="B11" s="28" t="s">
        <v>558</v>
      </c>
      <c r="D11" s="206">
        <v>0</v>
      </c>
      <c r="E11" s="214"/>
      <c r="F11" s="214">
        <v>4687861</v>
      </c>
      <c r="G11" s="46"/>
      <c r="I11" s="206">
        <v>0</v>
      </c>
    </row>
    <row r="12" spans="2:9" ht="15" hidden="1">
      <c r="B12" s="9" t="s">
        <v>315</v>
      </c>
      <c r="D12" s="206">
        <v>0</v>
      </c>
      <c r="E12" s="214"/>
      <c r="F12" s="214"/>
      <c r="I12" s="206">
        <v>0</v>
      </c>
    </row>
    <row r="13" spans="2:9" ht="15">
      <c r="B13" s="28" t="s">
        <v>559</v>
      </c>
      <c r="D13" s="206">
        <v>547691.2438099999</v>
      </c>
      <c r="E13" s="214"/>
      <c r="F13" s="214">
        <v>1551419</v>
      </c>
      <c r="I13" s="206">
        <v>547691.2438099999</v>
      </c>
    </row>
    <row r="14" spans="2:9" ht="15">
      <c r="B14" s="28" t="s">
        <v>143</v>
      </c>
      <c r="E14" s="214"/>
      <c r="F14" s="214">
        <v>395129</v>
      </c>
      <c r="I14" s="9">
        <v>-2487</v>
      </c>
    </row>
    <row r="15" spans="2:10" ht="15">
      <c r="B15" s="9" t="s">
        <v>503</v>
      </c>
      <c r="D15" s="206">
        <f>-2487-4554</f>
        <v>-7041</v>
      </c>
      <c r="E15" s="214"/>
      <c r="F15" s="214">
        <v>-504227</v>
      </c>
      <c r="I15" s="206">
        <v>-1974628</v>
      </c>
      <c r="J15" s="37"/>
    </row>
    <row r="16" spans="2:9" ht="15">
      <c r="B16" s="9" t="s">
        <v>391</v>
      </c>
      <c r="D16" s="206">
        <v>-1974628</v>
      </c>
      <c r="E16" s="214"/>
      <c r="F16" s="214">
        <v>-1502639</v>
      </c>
      <c r="I16" s="206">
        <v>555065</v>
      </c>
    </row>
    <row r="17" spans="2:9" ht="15">
      <c r="B17" s="9" t="s">
        <v>819</v>
      </c>
      <c r="D17" s="206">
        <f>588206+7092</f>
        <v>595298</v>
      </c>
      <c r="E17" s="214"/>
      <c r="F17" s="214">
        <v>3878015</v>
      </c>
      <c r="I17" s="206"/>
    </row>
    <row r="18" spans="4:10" ht="15.75" thickBot="1">
      <c r="D18" s="213">
        <f>SUM(D4:D17)</f>
        <v>70515838.81165002</v>
      </c>
      <c r="E18" s="214"/>
      <c r="F18" s="236">
        <f>SUM(F4:F17)</f>
        <v>41289935</v>
      </c>
      <c r="G18" s="593"/>
      <c r="H18" s="593"/>
      <c r="I18" s="593"/>
      <c r="J18" s="593"/>
    </row>
    <row r="19" spans="4:10" ht="15.75" thickTop="1">
      <c r="D19" s="209"/>
      <c r="E19" s="214"/>
      <c r="F19" s="231"/>
      <c r="G19" s="167"/>
      <c r="H19" s="167"/>
      <c r="I19" s="167"/>
      <c r="J19" s="167"/>
    </row>
    <row r="20" spans="1:6" ht="15">
      <c r="A20" s="105" t="s">
        <v>70</v>
      </c>
      <c r="B20" s="10" t="s">
        <v>823</v>
      </c>
      <c r="C20" s="10"/>
      <c r="D20" s="206"/>
      <c r="E20" s="214"/>
      <c r="F20" s="214"/>
    </row>
    <row r="21" spans="2:6" ht="15">
      <c r="B21" s="146"/>
      <c r="C21" s="146"/>
      <c r="D21" s="97"/>
      <c r="E21" s="96"/>
      <c r="F21" s="96"/>
    </row>
    <row r="22" spans="2:6" ht="15">
      <c r="B22" s="9" t="s">
        <v>373</v>
      </c>
      <c r="D22" s="275">
        <v>3004808</v>
      </c>
      <c r="E22" s="214"/>
      <c r="F22" s="276">
        <v>3106831</v>
      </c>
    </row>
    <row r="23" spans="2:7" ht="15">
      <c r="B23" s="9" t="s">
        <v>313</v>
      </c>
      <c r="D23" s="275">
        <v>686892181.72729</v>
      </c>
      <c r="E23" s="231"/>
      <c r="F23" s="276">
        <f>609286705+4507185</f>
        <v>613793890</v>
      </c>
      <c r="G23" s="46"/>
    </row>
    <row r="24" spans="2:7" ht="15">
      <c r="B24" s="9" t="s">
        <v>616</v>
      </c>
      <c r="D24" s="275">
        <v>0</v>
      </c>
      <c r="E24" s="231"/>
      <c r="F24" s="276">
        <v>11937000</v>
      </c>
      <c r="G24" s="46"/>
    </row>
    <row r="25" spans="2:6" ht="15">
      <c r="B25" s="9" t="s">
        <v>717</v>
      </c>
      <c r="D25" s="275">
        <v>13124079</v>
      </c>
      <c r="E25" s="231"/>
      <c r="F25" s="276">
        <v>13569242</v>
      </c>
    </row>
    <row r="26" spans="4:10" ht="15.75" thickBot="1">
      <c r="D26" s="277">
        <f>SUM(D22:D25)</f>
        <v>703021068.72729</v>
      </c>
      <c r="E26" s="214"/>
      <c r="F26" s="278">
        <f>SUM(F22:F25)</f>
        <v>642406963</v>
      </c>
      <c r="G26" s="593"/>
      <c r="H26" s="593"/>
      <c r="I26" s="593"/>
      <c r="J26" s="593"/>
    </row>
    <row r="27" spans="4:6" ht="15.75" thickTop="1">
      <c r="D27" s="37"/>
      <c r="E27" s="37"/>
      <c r="F27" s="37"/>
    </row>
    <row r="28" spans="4:6" ht="15">
      <c r="D28" s="37"/>
      <c r="E28" s="37"/>
      <c r="F28" s="37"/>
    </row>
  </sheetData>
  <mergeCells count="3">
    <mergeCell ref="D2:F2"/>
    <mergeCell ref="G18:J18"/>
    <mergeCell ref="G26:J26"/>
  </mergeCells>
  <printOptions/>
  <pageMargins left="0.75" right="0.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Y86"/>
  <sheetViews>
    <sheetView view="pageBreakPreview" zoomScale="75" zoomScaleSheetLayoutView="75" workbookViewId="0" topLeftCell="A1">
      <selection activeCell="L64" sqref="L64"/>
    </sheetView>
  </sheetViews>
  <sheetFormatPr defaultColWidth="9.140625" defaultRowHeight="12.75"/>
  <cols>
    <col min="1" max="1" width="6.7109375" style="311" customWidth="1"/>
    <col min="2" max="2" width="35.8515625" style="14" customWidth="1"/>
    <col min="3" max="3" width="1.8515625" style="14" hidden="1" customWidth="1"/>
    <col min="4" max="4" width="15.7109375" style="14" bestFit="1" customWidth="1"/>
    <col min="5" max="5" width="1.7109375" style="14" customWidth="1"/>
    <col min="6" max="6" width="14.00390625" style="14" bestFit="1" customWidth="1"/>
    <col min="7" max="7" width="1.7109375" style="14" customWidth="1"/>
    <col min="8" max="8" width="15.7109375" style="14" bestFit="1" customWidth="1"/>
    <col min="9" max="9" width="1.7109375" style="14" customWidth="1"/>
    <col min="10" max="10" width="15.140625" style="14" bestFit="1" customWidth="1"/>
    <col min="11" max="11" width="2.421875" style="14" customWidth="1"/>
    <col min="12" max="12" width="15.140625" style="14" bestFit="1" customWidth="1"/>
    <col min="13" max="13" width="1.7109375" style="14" customWidth="1"/>
    <col min="14" max="14" width="15.7109375" style="14" bestFit="1" customWidth="1"/>
    <col min="15" max="15" width="1.28515625" style="14" customWidth="1"/>
    <col min="16" max="16" width="17.00390625" style="14" customWidth="1"/>
    <col min="17" max="17" width="14.00390625" style="9" hidden="1" customWidth="1"/>
    <col min="18" max="18" width="14.421875" style="9" hidden="1" customWidth="1"/>
    <col min="19" max="19" width="12.7109375" style="9" hidden="1" customWidth="1"/>
    <col min="20" max="20" width="11.140625" style="9" hidden="1" customWidth="1"/>
    <col min="21" max="21" width="12.8515625" style="9" customWidth="1"/>
    <col min="22" max="24" width="11.00390625" style="9" customWidth="1"/>
    <col min="25" max="25" width="12.00390625" style="9" customWidth="1"/>
    <col min="26" max="16384" width="7.57421875" style="9" customWidth="1"/>
  </cols>
  <sheetData>
    <row r="1" spans="1:16" ht="15">
      <c r="A1" s="309" t="s">
        <v>120</v>
      </c>
      <c r="B1" s="544" t="s">
        <v>730</v>
      </c>
      <c r="C1" s="92"/>
      <c r="D1" s="10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0.5" customHeight="1">
      <c r="A2" s="309"/>
      <c r="B2" s="92"/>
      <c r="C2" s="92"/>
      <c r="D2" s="10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5">
      <c r="A3" s="309"/>
      <c r="B3" s="199" t="s">
        <v>724</v>
      </c>
      <c r="C3" s="92"/>
      <c r="D3" s="103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">
      <c r="A4" s="309"/>
      <c r="B4" s="199"/>
      <c r="C4" s="92"/>
      <c r="D4" s="595">
        <v>2006</v>
      </c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</row>
    <row r="5" spans="1:16" ht="10.5" customHeight="1">
      <c r="A5" s="309"/>
      <c r="B5" s="199"/>
      <c r="C5" s="92"/>
      <c r="D5" s="10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5" customHeight="1">
      <c r="A6" s="309"/>
      <c r="B6" s="92"/>
      <c r="C6" s="92"/>
      <c r="D6" s="103"/>
      <c r="E6" s="92"/>
      <c r="F6" s="92"/>
      <c r="G6" s="92"/>
      <c r="H6" s="92"/>
      <c r="I6" s="92"/>
      <c r="J6" s="92"/>
      <c r="K6" s="92"/>
      <c r="L6" s="92"/>
      <c r="M6" s="92"/>
      <c r="P6" s="103" t="s">
        <v>320</v>
      </c>
    </row>
    <row r="7" spans="1:16" s="10" customFormat="1" ht="14.25" customHeight="1">
      <c r="A7" s="310"/>
      <c r="B7" s="458"/>
      <c r="C7" s="458"/>
      <c r="D7" s="594" t="s">
        <v>244</v>
      </c>
      <c r="E7" s="594"/>
      <c r="F7" s="594"/>
      <c r="G7" s="594"/>
      <c r="H7" s="594"/>
      <c r="I7" s="458"/>
      <c r="J7" s="594" t="s">
        <v>67</v>
      </c>
      <c r="K7" s="594"/>
      <c r="L7" s="594"/>
      <c r="M7" s="594"/>
      <c r="N7" s="594"/>
      <c r="O7" s="459"/>
      <c r="P7" s="458"/>
    </row>
    <row r="8" spans="1:16" s="10" customFormat="1" ht="12.75" customHeight="1">
      <c r="A8" s="310"/>
      <c r="B8" s="460"/>
      <c r="C8" s="460"/>
      <c r="D8" s="461" t="s">
        <v>477</v>
      </c>
      <c r="E8" s="462"/>
      <c r="F8" s="461" t="s">
        <v>477</v>
      </c>
      <c r="G8" s="462"/>
      <c r="H8" s="461" t="s">
        <v>379</v>
      </c>
      <c r="I8" s="460"/>
      <c r="J8" s="461" t="s">
        <v>477</v>
      </c>
      <c r="K8" s="462"/>
      <c r="L8" s="461" t="s">
        <v>477</v>
      </c>
      <c r="M8" s="462"/>
      <c r="N8" s="461" t="s">
        <v>379</v>
      </c>
      <c r="O8" s="463"/>
      <c r="P8" s="461" t="s">
        <v>476</v>
      </c>
    </row>
    <row r="9" spans="1:16" s="10" customFormat="1" ht="14.25">
      <c r="A9" s="310"/>
      <c r="B9" s="460"/>
      <c r="C9" s="460"/>
      <c r="D9" s="464" t="s">
        <v>478</v>
      </c>
      <c r="E9" s="465"/>
      <c r="F9" s="464" t="s">
        <v>480</v>
      </c>
      <c r="G9" s="465"/>
      <c r="H9" s="464"/>
      <c r="I9" s="460"/>
      <c r="J9" s="464" t="s">
        <v>478</v>
      </c>
      <c r="K9" s="465"/>
      <c r="L9" s="464" t="s">
        <v>480</v>
      </c>
      <c r="M9" s="465"/>
      <c r="N9" s="464"/>
      <c r="O9" s="463"/>
      <c r="P9" s="464" t="s">
        <v>379</v>
      </c>
    </row>
    <row r="10" spans="1:16" s="10" customFormat="1" ht="16.5" customHeight="1">
      <c r="A10" s="310"/>
      <c r="B10" s="460"/>
      <c r="C10" s="460"/>
      <c r="D10" s="466" t="s">
        <v>479</v>
      </c>
      <c r="E10" s="425"/>
      <c r="F10" s="466" t="s">
        <v>481</v>
      </c>
      <c r="G10" s="425"/>
      <c r="H10" s="466"/>
      <c r="I10" s="460"/>
      <c r="J10" s="466" t="s">
        <v>479</v>
      </c>
      <c r="K10" s="425"/>
      <c r="L10" s="466" t="s">
        <v>481</v>
      </c>
      <c r="M10" s="425"/>
      <c r="N10" s="466"/>
      <c r="O10" s="463"/>
      <c r="P10" s="466"/>
    </row>
    <row r="11" spans="2:17" ht="15">
      <c r="B11" s="467" t="s">
        <v>657</v>
      </c>
      <c r="C11" s="458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37"/>
    </row>
    <row r="12" spans="2:20" ht="15.75" customHeight="1">
      <c r="B12" s="468" t="s">
        <v>816</v>
      </c>
      <c r="C12" s="469"/>
      <c r="D12" s="506">
        <v>0</v>
      </c>
      <c r="E12" s="541"/>
      <c r="F12" s="506">
        <v>0</v>
      </c>
      <c r="G12" s="541"/>
      <c r="H12" s="506">
        <f>D12+F12</f>
        <v>0</v>
      </c>
      <c r="I12" s="541"/>
      <c r="J12" s="506">
        <v>3004808</v>
      </c>
      <c r="K12" s="541"/>
      <c r="L12" s="542">
        <v>0</v>
      </c>
      <c r="M12" s="541"/>
      <c r="N12" s="542">
        <f>J12+L12</f>
        <v>3004808</v>
      </c>
      <c r="O12" s="541"/>
      <c r="P12" s="542">
        <f>+N12+H12</f>
        <v>3004808</v>
      </c>
      <c r="R12" s="15">
        <f>'NOTE 7 - 12.2'!K35</f>
        <v>3004808</v>
      </c>
      <c r="S12" s="15">
        <f>R12-P12</f>
        <v>0</v>
      </c>
      <c r="T12" s="312"/>
    </row>
    <row r="13" spans="2:19" ht="15.75" customHeight="1">
      <c r="B13" s="468" t="s">
        <v>833</v>
      </c>
      <c r="C13" s="469"/>
      <c r="D13" s="506">
        <v>674323172</v>
      </c>
      <c r="E13" s="541"/>
      <c r="F13" s="506">
        <v>2642813</v>
      </c>
      <c r="G13" s="541"/>
      <c r="H13" s="506">
        <f>D13+F13</f>
        <v>676965985</v>
      </c>
      <c r="I13" s="541"/>
      <c r="J13" s="506">
        <v>12436152</v>
      </c>
      <c r="K13" s="541"/>
      <c r="L13" s="506">
        <v>478900</v>
      </c>
      <c r="M13" s="541"/>
      <c r="N13" s="542">
        <f>J13+L13</f>
        <v>12915052</v>
      </c>
      <c r="O13" s="541"/>
      <c r="P13" s="542">
        <f>+N13+H13</f>
        <v>689881037</v>
      </c>
      <c r="R13" s="312">
        <f>'NOTE 5 - 6.5'!L15</f>
        <v>689881037</v>
      </c>
      <c r="S13" s="15">
        <f aca="true" t="shared" si="0" ref="S13:S26">R13-P13</f>
        <v>0</v>
      </c>
    </row>
    <row r="14" spans="2:19" ht="15.75" customHeight="1">
      <c r="B14" s="468" t="s">
        <v>482</v>
      </c>
      <c r="C14" s="469"/>
      <c r="D14" s="510"/>
      <c r="E14" s="510"/>
      <c r="F14" s="510"/>
      <c r="G14" s="541"/>
      <c r="H14" s="506"/>
      <c r="I14" s="541"/>
      <c r="J14" s="506"/>
      <c r="K14" s="541"/>
      <c r="L14" s="506"/>
      <c r="M14" s="541"/>
      <c r="N14" s="542"/>
      <c r="O14" s="541"/>
      <c r="P14" s="542"/>
      <c r="R14" s="312"/>
      <c r="S14" s="15">
        <f t="shared" si="0"/>
        <v>0</v>
      </c>
    </row>
    <row r="15" spans="1:19" ht="15.75" customHeight="1">
      <c r="A15" s="311" t="s">
        <v>384</v>
      </c>
      <c r="B15" s="468" t="s">
        <v>882</v>
      </c>
      <c r="C15" s="471"/>
      <c r="D15" s="506">
        <v>13124079</v>
      </c>
      <c r="E15" s="541"/>
      <c r="F15" s="506">
        <v>0</v>
      </c>
      <c r="G15" s="541"/>
      <c r="H15" s="506">
        <f>D15+F15</f>
        <v>13124079</v>
      </c>
      <c r="I15" s="541"/>
      <c r="J15" s="506">
        <v>0</v>
      </c>
      <c r="K15" s="541"/>
      <c r="L15" s="506">
        <v>0</v>
      </c>
      <c r="M15" s="541"/>
      <c r="N15" s="542">
        <f>J15+L15</f>
        <v>0</v>
      </c>
      <c r="O15" s="541"/>
      <c r="P15" s="542">
        <f>+N15+H15</f>
        <v>13124079</v>
      </c>
      <c r="R15" s="312">
        <f>'NOTE 7 - 12.2'!K16</f>
        <v>13124079</v>
      </c>
      <c r="S15" s="15">
        <f t="shared" si="0"/>
        <v>0</v>
      </c>
    </row>
    <row r="16" spans="2:19" ht="15.75" customHeight="1">
      <c r="B16" s="468" t="s">
        <v>483</v>
      </c>
      <c r="C16" s="471"/>
      <c r="D16" s="542"/>
      <c r="E16" s="541"/>
      <c r="F16" s="542"/>
      <c r="G16" s="541"/>
      <c r="H16" s="542"/>
      <c r="I16" s="541"/>
      <c r="J16" s="542"/>
      <c r="K16" s="541"/>
      <c r="L16" s="542"/>
      <c r="M16" s="541"/>
      <c r="N16" s="542"/>
      <c r="O16" s="541"/>
      <c r="P16" s="542"/>
      <c r="R16" s="312"/>
      <c r="S16" s="15">
        <f t="shared" si="0"/>
        <v>0</v>
      </c>
    </row>
    <row r="17" spans="2:19" ht="15.75" customHeight="1">
      <c r="B17" s="468" t="s">
        <v>197</v>
      </c>
      <c r="C17" s="471"/>
      <c r="D17" s="506">
        <v>0</v>
      </c>
      <c r="E17" s="541"/>
      <c r="F17" s="506">
        <v>0</v>
      </c>
      <c r="G17" s="541"/>
      <c r="H17" s="506">
        <f>D17+F17</f>
        <v>0</v>
      </c>
      <c r="I17" s="541"/>
      <c r="J17" s="506">
        <f>10526-1</f>
        <v>10525</v>
      </c>
      <c r="K17" s="541"/>
      <c r="L17" s="506">
        <v>0</v>
      </c>
      <c r="M17" s="541"/>
      <c r="N17" s="542">
        <f>J17+L17</f>
        <v>10525</v>
      </c>
      <c r="O17" s="541"/>
      <c r="P17" s="542">
        <f>+N17+H17</f>
        <v>10525</v>
      </c>
      <c r="R17" s="312">
        <f>'NOTE 13 - 17'!I36</f>
        <v>10524.794459998608</v>
      </c>
      <c r="S17" s="15">
        <f t="shared" si="0"/>
        <v>-0.2055400013923645</v>
      </c>
    </row>
    <row r="18" spans="2:19" ht="15.75" customHeight="1">
      <c r="B18" s="468" t="s">
        <v>753</v>
      </c>
      <c r="C18" s="469"/>
      <c r="D18" s="542">
        <v>8904268</v>
      </c>
      <c r="E18" s="541"/>
      <c r="F18" s="542"/>
      <c r="G18" s="541"/>
      <c r="H18" s="506">
        <f>D18+F18</f>
        <v>8904268</v>
      </c>
      <c r="I18" s="541"/>
      <c r="J18" s="542">
        <v>0</v>
      </c>
      <c r="K18" s="541"/>
      <c r="L18" s="542">
        <v>0</v>
      </c>
      <c r="M18" s="541"/>
      <c r="N18" s="542">
        <f>J18+L18</f>
        <v>0</v>
      </c>
      <c r="O18" s="541"/>
      <c r="P18" s="542">
        <f>+N18+H18</f>
        <v>8904268</v>
      </c>
      <c r="R18" s="312">
        <f>'BS-BAN'!K15</f>
        <v>8904268</v>
      </c>
      <c r="S18" s="15">
        <f t="shared" si="0"/>
        <v>0</v>
      </c>
    </row>
    <row r="19" spans="2:21" ht="15.75" customHeight="1">
      <c r="B19" s="468" t="s">
        <v>105</v>
      </c>
      <c r="C19" s="469"/>
      <c r="D19" s="506">
        <f>'NOTE 7 - 12.2'!K54</f>
        <v>514510983.52393</v>
      </c>
      <c r="E19" s="541"/>
      <c r="F19" s="506">
        <v>3509675</v>
      </c>
      <c r="G19" s="541"/>
      <c r="H19" s="506">
        <f>D19+F19</f>
        <v>518020658.52393</v>
      </c>
      <c r="I19" s="541"/>
      <c r="J19" s="506">
        <v>0</v>
      </c>
      <c r="K19" s="541"/>
      <c r="L19" s="506">
        <f>'NOTE 7 - 12.2'!K67</f>
        <v>26544663</v>
      </c>
      <c r="M19" s="541"/>
      <c r="N19" s="542">
        <f>J19+L19</f>
        <v>26544663</v>
      </c>
      <c r="O19" s="541"/>
      <c r="P19" s="542">
        <f>+N19+H19</f>
        <v>544565321.5239301</v>
      </c>
      <c r="Q19" s="37"/>
      <c r="R19" s="470">
        <f>'NOTE 7 - 12.2'!K73</f>
        <v>544565321.5239301</v>
      </c>
      <c r="S19" s="15">
        <f>P19-R19</f>
        <v>0</v>
      </c>
      <c r="U19" s="14"/>
    </row>
    <row r="20" spans="2:25" ht="15.75" customHeight="1">
      <c r="B20" s="468" t="s">
        <v>106</v>
      </c>
      <c r="C20" s="469"/>
      <c r="D20" s="506">
        <f>74506050.6-138644-2609948</f>
        <v>71757458.6</v>
      </c>
      <c r="E20" s="541"/>
      <c r="F20" s="506">
        <f>18747967.6-657966</f>
        <v>18090001.6</v>
      </c>
      <c r="G20" s="541"/>
      <c r="H20" s="506">
        <f>D20+F20</f>
        <v>89847460.19999999</v>
      </c>
      <c r="I20" s="541"/>
      <c r="J20" s="506">
        <f>75820773.7-2660955</f>
        <v>73159818.7</v>
      </c>
      <c r="K20" s="541"/>
      <c r="L20" s="506">
        <f>72917846.56-2559076</f>
        <v>70358770.56</v>
      </c>
      <c r="M20" s="541"/>
      <c r="N20" s="542">
        <f>SUM(J20:L20)</f>
        <v>143518589.26</v>
      </c>
      <c r="O20" s="541"/>
      <c r="P20" s="542">
        <f>+N20+H20</f>
        <v>233366049.45999998</v>
      </c>
      <c r="Q20" s="37"/>
      <c r="R20" s="312">
        <f>'BS-BAN'!K17</f>
        <v>233366049.54081</v>
      </c>
      <c r="S20" s="15">
        <f t="shared" si="0"/>
        <v>0.08081001043319702</v>
      </c>
      <c r="U20" s="14"/>
      <c r="V20" s="14"/>
      <c r="W20" s="14"/>
      <c r="X20" s="14"/>
      <c r="Y20" s="46"/>
    </row>
    <row r="21" spans="2:24" ht="15.75" customHeight="1">
      <c r="B21" s="468" t="s">
        <v>65</v>
      </c>
      <c r="C21" s="469"/>
      <c r="D21" s="542"/>
      <c r="E21" s="541"/>
      <c r="F21" s="542"/>
      <c r="G21" s="541"/>
      <c r="H21" s="506"/>
      <c r="I21" s="541"/>
      <c r="J21" s="542"/>
      <c r="K21" s="541"/>
      <c r="L21" s="542"/>
      <c r="M21" s="541"/>
      <c r="N21" s="542"/>
      <c r="O21" s="541"/>
      <c r="P21" s="542"/>
      <c r="R21" s="312"/>
      <c r="S21" s="15">
        <f t="shared" si="0"/>
        <v>0</v>
      </c>
      <c r="U21" s="138"/>
      <c r="V21" s="138"/>
      <c r="W21" s="138"/>
      <c r="X21" s="138"/>
    </row>
    <row r="22" spans="2:19" ht="15.75" customHeight="1">
      <c r="B22" s="468" t="s">
        <v>645</v>
      </c>
      <c r="C22" s="469"/>
      <c r="D22" s="506">
        <v>0</v>
      </c>
      <c r="E22" s="541"/>
      <c r="F22" s="542">
        <v>0</v>
      </c>
      <c r="G22" s="541"/>
      <c r="H22" s="506">
        <f>D22+F22</f>
        <v>0</v>
      </c>
      <c r="I22" s="541"/>
      <c r="J22" s="542">
        <v>0</v>
      </c>
      <c r="K22" s="541"/>
      <c r="L22" s="542">
        <v>562568</v>
      </c>
      <c r="M22" s="541"/>
      <c r="N22" s="542">
        <f>J22+L22</f>
        <v>562568</v>
      </c>
      <c r="O22" s="541"/>
      <c r="P22" s="542">
        <f>+N22+H22</f>
        <v>562568</v>
      </c>
      <c r="R22" s="37">
        <f>'BS-ISS'!H19</f>
        <v>562568</v>
      </c>
      <c r="S22" s="15">
        <f t="shared" si="0"/>
        <v>0</v>
      </c>
    </row>
    <row r="23" spans="2:19" ht="15.75" customHeight="1">
      <c r="B23" s="468" t="s">
        <v>109</v>
      </c>
      <c r="C23" s="469"/>
      <c r="D23" s="542">
        <v>0</v>
      </c>
      <c r="E23" s="541"/>
      <c r="F23" s="542">
        <v>378032</v>
      </c>
      <c r="G23" s="541"/>
      <c r="H23" s="506">
        <f>D23+F23</f>
        <v>378032</v>
      </c>
      <c r="I23" s="541"/>
      <c r="J23" s="542">
        <v>0</v>
      </c>
      <c r="K23" s="541"/>
      <c r="L23" s="542">
        <v>0</v>
      </c>
      <c r="M23" s="541"/>
      <c r="N23" s="542">
        <f>J23+L23</f>
        <v>0</v>
      </c>
      <c r="O23" s="541"/>
      <c r="P23" s="542">
        <f>+N23+H23</f>
        <v>378032</v>
      </c>
      <c r="R23" s="312">
        <f>'NOTE 13 - 17'!I15+'NOTE 13 - 17'!I16+'NOTE 13 - 17'!I17</f>
        <v>378032</v>
      </c>
      <c r="S23" s="15">
        <f t="shared" si="0"/>
        <v>0</v>
      </c>
    </row>
    <row r="24" spans="2:19" ht="15.75" customHeight="1">
      <c r="B24" s="445" t="s">
        <v>749</v>
      </c>
      <c r="C24" s="469"/>
      <c r="D24" s="542"/>
      <c r="E24" s="541"/>
      <c r="F24" s="542"/>
      <c r="G24" s="541"/>
      <c r="H24" s="506"/>
      <c r="I24" s="541"/>
      <c r="J24" s="542"/>
      <c r="K24" s="541"/>
      <c r="L24" s="542"/>
      <c r="M24" s="541"/>
      <c r="N24" s="542"/>
      <c r="O24" s="541"/>
      <c r="P24" s="542"/>
      <c r="R24" s="312"/>
      <c r="S24" s="15">
        <f t="shared" si="0"/>
        <v>0</v>
      </c>
    </row>
    <row r="25" spans="2:19" ht="15.75" customHeight="1">
      <c r="B25" s="445" t="s">
        <v>836</v>
      </c>
      <c r="C25" s="469"/>
      <c r="D25" s="542"/>
      <c r="E25" s="541"/>
      <c r="F25" s="542">
        <v>3513671</v>
      </c>
      <c r="G25" s="541"/>
      <c r="H25" s="506">
        <f>D25+F25</f>
        <v>3513671</v>
      </c>
      <c r="I25" s="541"/>
      <c r="J25" s="542">
        <v>0</v>
      </c>
      <c r="K25" s="541"/>
      <c r="L25" s="542">
        <v>0</v>
      </c>
      <c r="M25" s="541"/>
      <c r="N25" s="542">
        <f>J25+L25</f>
        <v>0</v>
      </c>
      <c r="O25" s="541"/>
      <c r="P25" s="542">
        <f>+N25+H25</f>
        <v>3513671</v>
      </c>
      <c r="R25" s="312">
        <f>'NOTE 18 - 19.1'!V12</f>
        <v>3513671.02181</v>
      </c>
      <c r="S25" s="15">
        <f t="shared" si="0"/>
        <v>0.021809999831020832</v>
      </c>
    </row>
    <row r="26" spans="2:19" ht="15.75" customHeight="1">
      <c r="B26" s="468" t="s">
        <v>134</v>
      </c>
      <c r="C26" s="469"/>
      <c r="D26" s="542">
        <v>0</v>
      </c>
      <c r="E26" s="541"/>
      <c r="F26" s="542">
        <v>0</v>
      </c>
      <c r="G26" s="541"/>
      <c r="H26" s="506">
        <f>D26+F26</f>
        <v>0</v>
      </c>
      <c r="I26" s="541"/>
      <c r="J26" s="542">
        <f>20704214+114994+2-10000000</f>
        <v>10819210</v>
      </c>
      <c r="K26" s="541"/>
      <c r="L26" s="542">
        <v>1793082</v>
      </c>
      <c r="M26" s="541"/>
      <c r="N26" s="542">
        <f>J26+L26</f>
        <v>12612292</v>
      </c>
      <c r="O26" s="541"/>
      <c r="P26" s="542">
        <f>+N26+H26</f>
        <v>12612292</v>
      </c>
      <c r="Q26" s="46"/>
      <c r="R26" s="312">
        <f>'BS-BAN'!K22</f>
        <v>12612292.49731</v>
      </c>
      <c r="S26" s="15">
        <f t="shared" si="0"/>
        <v>0.4973099995404482</v>
      </c>
    </row>
    <row r="27" spans="2:18" ht="15.75" customHeight="1">
      <c r="B27" s="468"/>
      <c r="C27" s="469"/>
      <c r="D27" s="543">
        <f>SUM(D12:D26)+1</f>
        <v>1282619962.12393</v>
      </c>
      <c r="E27" s="541"/>
      <c r="F27" s="543">
        <f>SUM(F12:F26)</f>
        <v>28134192.6</v>
      </c>
      <c r="G27" s="541"/>
      <c r="H27" s="543">
        <f>SUM(H12:H26)</f>
        <v>1310754153.7239301</v>
      </c>
      <c r="I27" s="541"/>
      <c r="J27" s="543">
        <f>SUM(J12:J26)</f>
        <v>99430513.7</v>
      </c>
      <c r="K27" s="541"/>
      <c r="L27" s="543">
        <f>SUM(L12:L26)</f>
        <v>99737983.56</v>
      </c>
      <c r="M27" s="541"/>
      <c r="N27" s="543">
        <f>SUM(N12:N26)</f>
        <v>199168497.26</v>
      </c>
      <c r="O27" s="541"/>
      <c r="P27" s="543">
        <f>SUM(P12:P26)</f>
        <v>1509922650.98393</v>
      </c>
      <c r="R27" s="312"/>
    </row>
    <row r="28" spans="2:18" ht="15.75" customHeight="1">
      <c r="B28" s="467" t="s">
        <v>658</v>
      </c>
      <c r="C28" s="458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R28" s="312"/>
    </row>
    <row r="29" spans="2:19" ht="15.75" customHeight="1">
      <c r="B29" s="468" t="s">
        <v>135</v>
      </c>
      <c r="C29" s="469"/>
      <c r="D29" s="542">
        <v>0</v>
      </c>
      <c r="E29" s="541"/>
      <c r="F29" s="542">
        <v>0</v>
      </c>
      <c r="G29" s="541"/>
      <c r="H29" s="506">
        <f aca="true" t="shared" si="1" ref="H29:H36">D29+F29</f>
        <v>0</v>
      </c>
      <c r="I29" s="541"/>
      <c r="J29" s="553">
        <v>0</v>
      </c>
      <c r="K29" s="541"/>
      <c r="L29" s="542">
        <f>782011372+2363914</f>
        <v>784375286</v>
      </c>
      <c r="M29" s="541"/>
      <c r="N29" s="542">
        <f aca="true" t="shared" si="2" ref="N29:N36">J29+L29</f>
        <v>784375286</v>
      </c>
      <c r="O29" s="541"/>
      <c r="P29" s="542">
        <f aca="true" t="shared" si="3" ref="P29:P36">+N29+H29</f>
        <v>784375286</v>
      </c>
      <c r="R29" s="312">
        <f>'BS-ISS'!H33</f>
        <v>784375286</v>
      </c>
      <c r="S29" s="15">
        <f aca="true" t="shared" si="4" ref="S29:S35">R29-P29</f>
        <v>0</v>
      </c>
    </row>
    <row r="30" spans="2:19" ht="15.75" customHeight="1">
      <c r="B30" s="468" t="s">
        <v>136</v>
      </c>
      <c r="C30" s="469"/>
      <c r="D30" s="542">
        <v>0</v>
      </c>
      <c r="E30" s="541"/>
      <c r="F30" s="542">
        <v>0</v>
      </c>
      <c r="G30" s="541"/>
      <c r="H30" s="506">
        <f t="shared" si="1"/>
        <v>0</v>
      </c>
      <c r="I30" s="541"/>
      <c r="J30" s="542">
        <v>472733</v>
      </c>
      <c r="K30" s="541"/>
      <c r="L30" s="542">
        <v>0</v>
      </c>
      <c r="M30" s="541"/>
      <c r="N30" s="542">
        <f t="shared" si="2"/>
        <v>472733</v>
      </c>
      <c r="O30" s="541"/>
      <c r="P30" s="542">
        <f t="shared" si="3"/>
        <v>472733</v>
      </c>
      <c r="R30" s="312">
        <f>'BS-BAN'!K26</f>
        <v>472733</v>
      </c>
      <c r="S30" s="15">
        <f t="shared" si="4"/>
        <v>0</v>
      </c>
    </row>
    <row r="31" spans="2:19" ht="15.75" customHeight="1">
      <c r="B31" s="445" t="s">
        <v>200</v>
      </c>
      <c r="C31" s="469"/>
      <c r="D31" s="542">
        <v>0</v>
      </c>
      <c r="E31" s="541"/>
      <c r="F31" s="542">
        <v>0</v>
      </c>
      <c r="G31" s="541"/>
      <c r="H31" s="506">
        <f t="shared" si="1"/>
        <v>0</v>
      </c>
      <c r="I31" s="541"/>
      <c r="J31" s="542">
        <v>147097122</v>
      </c>
      <c r="K31" s="541"/>
      <c r="L31" s="542">
        <v>0</v>
      </c>
      <c r="M31" s="541"/>
      <c r="N31" s="542">
        <f t="shared" si="2"/>
        <v>147097122</v>
      </c>
      <c r="O31" s="541"/>
      <c r="P31" s="542">
        <f t="shared" si="3"/>
        <v>147097122</v>
      </c>
      <c r="R31" s="312">
        <f>'BS-BAN'!K27</f>
        <v>147097122</v>
      </c>
      <c r="S31" s="15">
        <f t="shared" si="4"/>
        <v>0</v>
      </c>
    </row>
    <row r="32" spans="2:19" ht="15.75" customHeight="1">
      <c r="B32" s="468" t="s">
        <v>212</v>
      </c>
      <c r="C32" s="469"/>
      <c r="D32" s="542">
        <v>60491003</v>
      </c>
      <c r="E32" s="541"/>
      <c r="F32" s="542">
        <v>0</v>
      </c>
      <c r="G32" s="541"/>
      <c r="H32" s="506">
        <f t="shared" si="1"/>
        <v>60491003</v>
      </c>
      <c r="I32" s="541"/>
      <c r="J32" s="542">
        <v>0</v>
      </c>
      <c r="K32" s="541"/>
      <c r="L32" s="542">
        <v>0</v>
      </c>
      <c r="M32" s="541"/>
      <c r="N32" s="542">
        <f t="shared" si="2"/>
        <v>0</v>
      </c>
      <c r="O32" s="541"/>
      <c r="P32" s="542">
        <f t="shared" si="3"/>
        <v>60491003</v>
      </c>
      <c r="R32" s="312">
        <f>'BS-BAN'!K28</f>
        <v>60491003</v>
      </c>
      <c r="S32" s="15">
        <f t="shared" si="4"/>
        <v>0</v>
      </c>
    </row>
    <row r="33" spans="2:19" ht="15.75" customHeight="1">
      <c r="B33" s="468" t="s">
        <v>750</v>
      </c>
      <c r="C33" s="469"/>
      <c r="D33" s="542">
        <v>0</v>
      </c>
      <c r="E33" s="541"/>
      <c r="F33" s="506">
        <v>43869431</v>
      </c>
      <c r="G33" s="541"/>
      <c r="H33" s="506">
        <f t="shared" si="1"/>
        <v>43869431</v>
      </c>
      <c r="I33" s="541"/>
      <c r="J33" s="542">
        <v>78578316.48</v>
      </c>
      <c r="K33" s="541"/>
      <c r="L33" s="506">
        <v>85126509.52</v>
      </c>
      <c r="M33" s="541"/>
      <c r="N33" s="542">
        <f t="shared" si="2"/>
        <v>163704826</v>
      </c>
      <c r="O33" s="541"/>
      <c r="P33" s="542">
        <f t="shared" si="3"/>
        <v>207574257</v>
      </c>
      <c r="R33" s="312">
        <f>'BS-BAN'!K29</f>
        <v>207574257</v>
      </c>
      <c r="S33" s="15">
        <f t="shared" si="4"/>
        <v>0</v>
      </c>
    </row>
    <row r="34" spans="2:19" ht="15.75" customHeight="1">
      <c r="B34" s="468" t="s">
        <v>80</v>
      </c>
      <c r="C34" s="469"/>
      <c r="D34" s="542">
        <v>57610544</v>
      </c>
      <c r="E34" s="541"/>
      <c r="F34" s="542">
        <v>0</v>
      </c>
      <c r="G34" s="541"/>
      <c r="H34" s="506">
        <f t="shared" si="1"/>
        <v>57610544</v>
      </c>
      <c r="I34" s="541"/>
      <c r="J34" s="542">
        <v>47030698</v>
      </c>
      <c r="K34" s="541"/>
      <c r="L34" s="542">
        <v>0</v>
      </c>
      <c r="M34" s="541"/>
      <c r="N34" s="542">
        <f t="shared" si="2"/>
        <v>47030698</v>
      </c>
      <c r="O34" s="541"/>
      <c r="P34" s="542">
        <f t="shared" si="3"/>
        <v>104641242</v>
      </c>
      <c r="R34" s="312">
        <f>'BS-BAN'!K30</f>
        <v>104641241.90129</v>
      </c>
      <c r="S34" s="15">
        <f t="shared" si="4"/>
        <v>-0.09871000051498413</v>
      </c>
    </row>
    <row r="35" spans="2:19" ht="15.75" customHeight="1">
      <c r="B35" s="468" t="s">
        <v>790</v>
      </c>
      <c r="C35" s="469"/>
      <c r="D35" s="542">
        <v>6421707.711999999</v>
      </c>
      <c r="E35" s="541"/>
      <c r="F35" s="542">
        <v>83444532.288</v>
      </c>
      <c r="G35" s="541"/>
      <c r="H35" s="506">
        <f t="shared" si="1"/>
        <v>89866240</v>
      </c>
      <c r="I35" s="541"/>
      <c r="J35" s="542">
        <v>0</v>
      </c>
      <c r="K35" s="541"/>
      <c r="L35" s="542">
        <v>0</v>
      </c>
      <c r="M35" s="541"/>
      <c r="N35" s="542">
        <f t="shared" si="2"/>
        <v>0</v>
      </c>
      <c r="O35" s="541"/>
      <c r="P35" s="542">
        <f t="shared" si="3"/>
        <v>89866240</v>
      </c>
      <c r="R35" s="312">
        <f>'BS-BAN'!K31</f>
        <v>89866240.26704</v>
      </c>
      <c r="S35" s="15">
        <f t="shared" si="4"/>
        <v>0.2670399993658066</v>
      </c>
    </row>
    <row r="36" spans="2:20" ht="15.75" customHeight="1">
      <c r="B36" s="468" t="s">
        <v>144</v>
      </c>
      <c r="C36" s="469"/>
      <c r="D36" s="542">
        <v>0</v>
      </c>
      <c r="E36" s="541"/>
      <c r="F36" s="542">
        <v>0</v>
      </c>
      <c r="G36" s="541"/>
      <c r="H36" s="506">
        <f t="shared" si="1"/>
        <v>0</v>
      </c>
      <c r="I36" s="541"/>
      <c r="J36" s="506">
        <f>10445180+870099+4775899+420413+2155000-1+2364397+10000+39091788</f>
        <v>60132775</v>
      </c>
      <c r="K36" s="541"/>
      <c r="L36" s="506">
        <v>0</v>
      </c>
      <c r="M36" s="541"/>
      <c r="N36" s="542">
        <f t="shared" si="2"/>
        <v>60132775</v>
      </c>
      <c r="O36" s="541"/>
      <c r="P36" s="542">
        <f t="shared" si="3"/>
        <v>60132775</v>
      </c>
      <c r="Q36" s="37"/>
      <c r="R36" s="312">
        <f>'BS-BAN'!K32</f>
        <v>60997960.16481</v>
      </c>
      <c r="S36" s="37">
        <f>'NOTE 26.2 - 27.1'!E41+'NOTE 26.2 - 27.1'!E40+'NOTE 26.2 - 27.1'!E21</f>
        <v>3229099.035</v>
      </c>
      <c r="T36" s="37">
        <f>R36-S36</f>
        <v>57768861.129810005</v>
      </c>
    </row>
    <row r="37" spans="2:20" ht="15.75" customHeight="1">
      <c r="B37" s="468"/>
      <c r="C37" s="469"/>
      <c r="D37" s="543">
        <f>SUM(D29:D36)</f>
        <v>124523254.712</v>
      </c>
      <c r="E37" s="541"/>
      <c r="F37" s="543">
        <f>SUM(F29:F36)</f>
        <v>127313963.288</v>
      </c>
      <c r="G37" s="541"/>
      <c r="H37" s="543">
        <f>SUM(H29:H36)</f>
        <v>251837218</v>
      </c>
      <c r="I37" s="541"/>
      <c r="J37" s="543">
        <f>SUM(J29:J36)</f>
        <v>333311644.48</v>
      </c>
      <c r="K37" s="541"/>
      <c r="L37" s="543">
        <f>SUM(L29:L36)</f>
        <v>869501795.52</v>
      </c>
      <c r="M37" s="541"/>
      <c r="N37" s="543">
        <f>SUM(N29:N36)</f>
        <v>1202813440</v>
      </c>
      <c r="O37" s="541"/>
      <c r="P37" s="543">
        <f>SUM(P29:P36)</f>
        <v>1454650658</v>
      </c>
      <c r="Q37" s="37"/>
      <c r="R37" s="312"/>
      <c r="T37" s="37">
        <f>P36-T36</f>
        <v>2363913.8701899946</v>
      </c>
    </row>
    <row r="38" spans="2:18" ht="15.75" customHeight="1" thickBot="1">
      <c r="B38" s="472" t="s">
        <v>440</v>
      </c>
      <c r="C38" s="469"/>
      <c r="D38" s="509">
        <f>D27-D37</f>
        <v>1158096707.41193</v>
      </c>
      <c r="E38" s="541"/>
      <c r="F38" s="509">
        <f>F27-F37+1</f>
        <v>-99179769.688</v>
      </c>
      <c r="G38" s="541"/>
      <c r="H38" s="509">
        <f>H27-H37</f>
        <v>1058916935.7239301</v>
      </c>
      <c r="I38" s="541"/>
      <c r="J38" s="509">
        <f>J27-J37+1</f>
        <v>-233881129.78000003</v>
      </c>
      <c r="K38" s="541"/>
      <c r="L38" s="509">
        <f>L27-L37</f>
        <v>-769763811.96</v>
      </c>
      <c r="M38" s="541"/>
      <c r="N38" s="509">
        <f>N27-N37</f>
        <v>-1003644942.74</v>
      </c>
      <c r="O38" s="541"/>
      <c r="P38" s="509">
        <f>P27-P37</f>
        <v>55271992.98393011</v>
      </c>
      <c r="R38" s="312"/>
    </row>
    <row r="39" spans="2:20" ht="10.5" customHeight="1" thickTop="1">
      <c r="B39" s="9"/>
      <c r="T39" s="46"/>
    </row>
    <row r="40" spans="2:20" ht="15.75" customHeight="1">
      <c r="B40" s="311"/>
      <c r="D40" s="595">
        <v>2005</v>
      </c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T40" s="46"/>
    </row>
    <row r="41" spans="2:20" ht="15.75" customHeight="1">
      <c r="B41" s="310" t="s">
        <v>657</v>
      </c>
      <c r="T41" s="46"/>
    </row>
    <row r="42" spans="2:20" ht="15.75" customHeight="1">
      <c r="B42" s="311" t="s">
        <v>816</v>
      </c>
      <c r="D42" s="95">
        <v>0</v>
      </c>
      <c r="E42" s="95"/>
      <c r="F42" s="95">
        <v>0</v>
      </c>
      <c r="G42" s="95"/>
      <c r="H42" s="95">
        <f>D42+F42</f>
        <v>0</v>
      </c>
      <c r="I42" s="95"/>
      <c r="J42" s="95">
        <v>3106831</v>
      </c>
      <c r="K42" s="95"/>
      <c r="L42" s="95">
        <v>0</v>
      </c>
      <c r="M42" s="95"/>
      <c r="N42" s="95">
        <f>J42+L42</f>
        <v>3106831</v>
      </c>
      <c r="O42" s="95"/>
      <c r="P42" s="95">
        <f>+N42+H42</f>
        <v>3106831</v>
      </c>
      <c r="T42" s="46"/>
    </row>
    <row r="43" spans="2:20" ht="15.75" customHeight="1">
      <c r="B43" s="311" t="s">
        <v>833</v>
      </c>
      <c r="D43" s="95">
        <v>602006472</v>
      </c>
      <c r="E43" s="95"/>
      <c r="F43" s="95">
        <v>2150157</v>
      </c>
      <c r="G43" s="95"/>
      <c r="H43" s="95">
        <f>D43+F43</f>
        <v>604156629</v>
      </c>
      <c r="I43" s="95"/>
      <c r="J43" s="95">
        <v>7463400</v>
      </c>
      <c r="K43" s="95"/>
      <c r="L43" s="95">
        <v>407072</v>
      </c>
      <c r="M43" s="95"/>
      <c r="N43" s="95">
        <f>J43+L43</f>
        <v>7870472</v>
      </c>
      <c r="O43" s="95"/>
      <c r="P43" s="95">
        <f>+N43+H43</f>
        <v>612027101</v>
      </c>
      <c r="T43" s="46"/>
    </row>
    <row r="44" spans="2:20" ht="15.75" customHeight="1">
      <c r="B44" s="311" t="s">
        <v>914</v>
      </c>
      <c r="D44" s="95">
        <v>11937000</v>
      </c>
      <c r="E44" s="95"/>
      <c r="F44" s="95">
        <v>0</v>
      </c>
      <c r="G44" s="95"/>
      <c r="H44" s="95">
        <f>D44+F44</f>
        <v>11937000</v>
      </c>
      <c r="I44" s="95"/>
      <c r="J44" s="95">
        <v>0</v>
      </c>
      <c r="K44" s="95"/>
      <c r="L44" s="95">
        <v>0</v>
      </c>
      <c r="M44" s="95"/>
      <c r="N44" s="95">
        <f>J44+L44</f>
        <v>0</v>
      </c>
      <c r="O44" s="95"/>
      <c r="P44" s="95">
        <f>+N44+H44</f>
        <v>11937000</v>
      </c>
      <c r="T44" s="46"/>
    </row>
    <row r="45" spans="2:20" ht="15.75" customHeight="1">
      <c r="B45" s="311" t="s">
        <v>482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T45" s="46"/>
    </row>
    <row r="46" spans="2:20" ht="15.75" customHeight="1">
      <c r="B46" s="311" t="s">
        <v>882</v>
      </c>
      <c r="D46" s="95">
        <v>13569242</v>
      </c>
      <c r="E46" s="95"/>
      <c r="F46" s="95">
        <v>0</v>
      </c>
      <c r="G46" s="95"/>
      <c r="H46" s="95">
        <f>D46+F46</f>
        <v>13569242</v>
      </c>
      <c r="I46" s="95"/>
      <c r="J46" s="95">
        <v>0</v>
      </c>
      <c r="K46" s="95"/>
      <c r="L46" s="95">
        <v>0</v>
      </c>
      <c r="M46" s="95"/>
      <c r="N46" s="95">
        <f>J46+L46</f>
        <v>0</v>
      </c>
      <c r="O46" s="95"/>
      <c r="P46" s="95">
        <f>+N46+H46</f>
        <v>13569242</v>
      </c>
      <c r="T46" s="46"/>
    </row>
    <row r="47" spans="2:20" ht="15.75" customHeight="1">
      <c r="B47" s="311" t="s">
        <v>483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T47" s="46"/>
    </row>
    <row r="48" spans="2:20" ht="15.75" customHeight="1">
      <c r="B48" s="311" t="s">
        <v>197</v>
      </c>
      <c r="D48" s="95">
        <v>0</v>
      </c>
      <c r="E48" s="95"/>
      <c r="F48" s="95">
        <v>0</v>
      </c>
      <c r="G48" s="95"/>
      <c r="H48" s="95">
        <f>D48+F48</f>
        <v>0</v>
      </c>
      <c r="I48" s="95"/>
      <c r="J48" s="95">
        <v>10315</v>
      </c>
      <c r="K48" s="95"/>
      <c r="L48" s="95">
        <v>0</v>
      </c>
      <c r="M48" s="95"/>
      <c r="N48" s="95">
        <f>J48+L48</f>
        <v>10315</v>
      </c>
      <c r="O48" s="95"/>
      <c r="P48" s="95">
        <f>+N48+H48</f>
        <v>10315</v>
      </c>
      <c r="T48" s="46"/>
    </row>
    <row r="49" spans="2:20" ht="15.75" customHeight="1">
      <c r="B49" s="311" t="s">
        <v>915</v>
      </c>
      <c r="D49" s="95">
        <v>9115549</v>
      </c>
      <c r="E49" s="95"/>
      <c r="F49" s="95">
        <v>0</v>
      </c>
      <c r="G49" s="95"/>
      <c r="H49" s="95">
        <f>D49+F49</f>
        <v>9115549</v>
      </c>
      <c r="I49" s="95"/>
      <c r="J49" s="95">
        <v>0</v>
      </c>
      <c r="K49" s="95"/>
      <c r="L49" s="95">
        <v>0</v>
      </c>
      <c r="M49" s="95"/>
      <c r="N49" s="95">
        <f>J49+L49</f>
        <v>0</v>
      </c>
      <c r="O49" s="95"/>
      <c r="P49" s="95">
        <f>+N49+H49</f>
        <v>9115549</v>
      </c>
      <c r="T49" s="46"/>
    </row>
    <row r="50" spans="2:20" ht="15.75" customHeight="1">
      <c r="B50" s="311" t="s">
        <v>753</v>
      </c>
      <c r="D50" s="95">
        <v>0</v>
      </c>
      <c r="E50" s="95"/>
      <c r="F50" s="95">
        <v>0</v>
      </c>
      <c r="G50" s="95"/>
      <c r="H50" s="95">
        <f>D50+F50</f>
        <v>0</v>
      </c>
      <c r="I50" s="95"/>
      <c r="J50" s="95">
        <v>2114045</v>
      </c>
      <c r="K50" s="95"/>
      <c r="L50" s="95">
        <v>0</v>
      </c>
      <c r="M50" s="95"/>
      <c r="N50" s="95">
        <f>J50+L50</f>
        <v>2114045</v>
      </c>
      <c r="O50" s="95"/>
      <c r="P50" s="95">
        <f>+N50+H50</f>
        <v>2114045</v>
      </c>
      <c r="T50" s="46"/>
    </row>
    <row r="51" spans="2:20" ht="15.75" customHeight="1">
      <c r="B51" s="311" t="s">
        <v>105</v>
      </c>
      <c r="D51" s="95">
        <v>329003605</v>
      </c>
      <c r="E51" s="95"/>
      <c r="F51" s="95">
        <v>3124506</v>
      </c>
      <c r="G51" s="95"/>
      <c r="H51" s="95">
        <f>D51+F51</f>
        <v>332128111</v>
      </c>
      <c r="I51" s="95"/>
      <c r="J51" s="95">
        <v>0</v>
      </c>
      <c r="K51" s="95"/>
      <c r="L51" s="95">
        <v>29947165</v>
      </c>
      <c r="M51" s="95"/>
      <c r="N51" s="95">
        <f>J51+L51</f>
        <v>29947165</v>
      </c>
      <c r="O51" s="95"/>
      <c r="P51" s="95">
        <f>+N51+H51</f>
        <v>362075276</v>
      </c>
      <c r="T51" s="46"/>
    </row>
    <row r="52" spans="2:20" ht="15.75" customHeight="1">
      <c r="B52" s="311" t="s">
        <v>106</v>
      </c>
      <c r="D52" s="95">
        <v>72885430</v>
      </c>
      <c r="E52" s="95"/>
      <c r="F52" s="95">
        <v>17812893</v>
      </c>
      <c r="G52" s="95"/>
      <c r="H52" s="95">
        <f>D52+F52</f>
        <v>90698323</v>
      </c>
      <c r="I52" s="95"/>
      <c r="J52" s="95">
        <v>62989234</v>
      </c>
      <c r="K52" s="95"/>
      <c r="L52" s="95">
        <v>70567191</v>
      </c>
      <c r="M52" s="95"/>
      <c r="N52" s="95">
        <f>SUM(J52:L52)</f>
        <v>133556425</v>
      </c>
      <c r="O52" s="95"/>
      <c r="P52" s="95">
        <f>+N52+H52</f>
        <v>224254748</v>
      </c>
      <c r="T52" s="46"/>
    </row>
    <row r="53" spans="2:20" ht="15.75" customHeight="1">
      <c r="B53" s="311" t="s">
        <v>65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T53" s="46"/>
    </row>
    <row r="54" spans="2:20" ht="15.75" customHeight="1">
      <c r="B54" s="311" t="s">
        <v>645</v>
      </c>
      <c r="D54" s="95">
        <v>0</v>
      </c>
      <c r="E54" s="95"/>
      <c r="F54" s="95">
        <v>0</v>
      </c>
      <c r="G54" s="95"/>
      <c r="H54" s="95">
        <f>D54+F54</f>
        <v>0</v>
      </c>
      <c r="I54" s="95"/>
      <c r="J54" s="95">
        <v>0</v>
      </c>
      <c r="K54" s="95"/>
      <c r="L54" s="95">
        <v>592891</v>
      </c>
      <c r="M54" s="95"/>
      <c r="N54" s="95">
        <f>J54+L54</f>
        <v>592891</v>
      </c>
      <c r="O54" s="95"/>
      <c r="P54" s="95">
        <f>+N54+H54</f>
        <v>592891</v>
      </c>
      <c r="T54" s="46"/>
    </row>
    <row r="55" spans="2:20" ht="15.75" customHeight="1">
      <c r="B55" s="311" t="s">
        <v>109</v>
      </c>
      <c r="D55" s="95">
        <v>0</v>
      </c>
      <c r="E55" s="95"/>
      <c r="F55" s="95">
        <v>375791</v>
      </c>
      <c r="G55" s="95"/>
      <c r="H55" s="95">
        <f>D55+F55</f>
        <v>375791</v>
      </c>
      <c r="I55" s="95"/>
      <c r="J55" s="95">
        <v>0</v>
      </c>
      <c r="K55" s="95"/>
      <c r="L55" s="95">
        <v>0</v>
      </c>
      <c r="M55" s="95"/>
      <c r="N55" s="95">
        <f>J55+L55</f>
        <v>0</v>
      </c>
      <c r="O55" s="95"/>
      <c r="P55" s="95">
        <f>+N55+H55</f>
        <v>375791</v>
      </c>
      <c r="T55" s="46"/>
    </row>
    <row r="56" spans="2:20" ht="15.75" customHeight="1">
      <c r="B56" s="9" t="s">
        <v>749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T56" s="46"/>
    </row>
    <row r="57" spans="2:20" ht="15.75" customHeight="1">
      <c r="B57" s="9" t="s">
        <v>836</v>
      </c>
      <c r="D57" s="95">
        <v>0</v>
      </c>
      <c r="E57" s="95"/>
      <c r="F57" s="95">
        <v>3221784</v>
      </c>
      <c r="G57" s="95"/>
      <c r="H57" s="95">
        <f>D57+F57</f>
        <v>3221784</v>
      </c>
      <c r="I57" s="95"/>
      <c r="J57" s="95">
        <v>0</v>
      </c>
      <c r="K57" s="95"/>
      <c r="L57" s="95">
        <v>0</v>
      </c>
      <c r="M57" s="95"/>
      <c r="N57" s="95">
        <f>J57+L57</f>
        <v>0</v>
      </c>
      <c r="O57" s="95"/>
      <c r="P57" s="95">
        <f>+N57+H57</f>
        <v>3221784</v>
      </c>
      <c r="T57" s="46"/>
    </row>
    <row r="58" spans="2:20" ht="15.75" customHeight="1">
      <c r="B58" s="311" t="s">
        <v>134</v>
      </c>
      <c r="D58" s="432">
        <v>0</v>
      </c>
      <c r="E58" s="95"/>
      <c r="F58" s="432">
        <v>0</v>
      </c>
      <c r="G58" s="95"/>
      <c r="H58" s="432">
        <f>D58+F58</f>
        <v>0</v>
      </c>
      <c r="I58" s="95"/>
      <c r="J58" s="432">
        <v>5892452</v>
      </c>
      <c r="K58" s="95"/>
      <c r="L58" s="432">
        <v>1769463</v>
      </c>
      <c r="M58" s="95"/>
      <c r="N58" s="432">
        <f>J58+L58</f>
        <v>7661915</v>
      </c>
      <c r="O58" s="95"/>
      <c r="P58" s="432">
        <f>+N58+H58</f>
        <v>7661915</v>
      </c>
      <c r="T58" s="46"/>
    </row>
    <row r="59" spans="2:20" ht="15.75" customHeight="1">
      <c r="B59" s="311"/>
      <c r="D59" s="95">
        <f>SUM(D42:D58)</f>
        <v>1038517298</v>
      </c>
      <c r="E59" s="95"/>
      <c r="F59" s="95">
        <f>SUM(F42:F58)</f>
        <v>26685131</v>
      </c>
      <c r="G59" s="95"/>
      <c r="H59" s="95">
        <f>SUM(H42:H58)</f>
        <v>1065202429</v>
      </c>
      <c r="I59" s="95"/>
      <c r="J59" s="95">
        <f>SUM(J42:J58)</f>
        <v>81576277</v>
      </c>
      <c r="K59" s="95"/>
      <c r="L59" s="95">
        <f>SUM(L42:L58)</f>
        <v>103283782</v>
      </c>
      <c r="M59" s="95"/>
      <c r="N59" s="95">
        <f>SUM(N42:N58)</f>
        <v>184860059</v>
      </c>
      <c r="O59" s="95"/>
      <c r="P59" s="95">
        <f>SUM(P42:P58)</f>
        <v>1250062488</v>
      </c>
      <c r="T59" s="46"/>
    </row>
    <row r="60" spans="2:20" ht="15.75" customHeight="1">
      <c r="B60" s="310" t="s">
        <v>658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T60" s="46"/>
    </row>
    <row r="61" spans="2:20" ht="15.75" customHeight="1">
      <c r="B61" s="311" t="s">
        <v>135</v>
      </c>
      <c r="D61" s="95">
        <v>0</v>
      </c>
      <c r="E61" s="95"/>
      <c r="F61" s="95">
        <v>0</v>
      </c>
      <c r="G61" s="95"/>
      <c r="H61" s="95">
        <f aca="true" t="shared" si="5" ref="H61:H68">D61+F61</f>
        <v>0</v>
      </c>
      <c r="I61" s="95"/>
      <c r="J61" s="95">
        <v>3941642</v>
      </c>
      <c r="K61" s="601" t="s">
        <v>496</v>
      </c>
      <c r="L61" s="95">
        <v>701924066</v>
      </c>
      <c r="M61" s="95"/>
      <c r="N61" s="95">
        <f aca="true" t="shared" si="6" ref="N61:N68">J61+L61</f>
        <v>705865708</v>
      </c>
      <c r="O61" s="95"/>
      <c r="P61" s="95">
        <f aca="true" t="shared" si="7" ref="P61:P68">+N61+H61</f>
        <v>705865708</v>
      </c>
      <c r="T61" s="46"/>
    </row>
    <row r="62" spans="2:20" ht="15.75" customHeight="1">
      <c r="B62" s="311" t="s">
        <v>136</v>
      </c>
      <c r="D62" s="95">
        <v>0</v>
      </c>
      <c r="E62" s="95"/>
      <c r="F62" s="95">
        <v>0</v>
      </c>
      <c r="G62" s="95"/>
      <c r="H62" s="95">
        <f t="shared" si="5"/>
        <v>0</v>
      </c>
      <c r="I62" s="95"/>
      <c r="J62" s="95">
        <v>1099683</v>
      </c>
      <c r="K62" s="95"/>
      <c r="L62" s="95">
        <v>0</v>
      </c>
      <c r="M62" s="95"/>
      <c r="N62" s="95">
        <f t="shared" si="6"/>
        <v>1099683</v>
      </c>
      <c r="O62" s="95"/>
      <c r="P62" s="95">
        <f t="shared" si="7"/>
        <v>1099683</v>
      </c>
      <c r="T62" s="46"/>
    </row>
    <row r="63" spans="2:20" ht="15.75" customHeight="1">
      <c r="B63" s="9" t="s">
        <v>200</v>
      </c>
      <c r="D63" s="95">
        <v>0</v>
      </c>
      <c r="E63" s="95"/>
      <c r="F63" s="95">
        <v>0</v>
      </c>
      <c r="G63" s="95"/>
      <c r="H63" s="95">
        <f t="shared" si="5"/>
        <v>0</v>
      </c>
      <c r="I63" s="95"/>
      <c r="J63" s="95">
        <v>104917734</v>
      </c>
      <c r="K63" s="95"/>
      <c r="L63" s="95">
        <v>0</v>
      </c>
      <c r="M63" s="95"/>
      <c r="N63" s="95">
        <f t="shared" si="6"/>
        <v>104917734</v>
      </c>
      <c r="O63" s="95"/>
      <c r="P63" s="95">
        <f t="shared" si="7"/>
        <v>104917734</v>
      </c>
      <c r="T63" s="46"/>
    </row>
    <row r="64" spans="2:20" ht="15.75" customHeight="1">
      <c r="B64" s="311" t="s">
        <v>212</v>
      </c>
      <c r="D64" s="95">
        <v>1208613</v>
      </c>
      <c r="E64" s="95"/>
      <c r="F64" s="95">
        <v>0</v>
      </c>
      <c r="G64" s="95"/>
      <c r="H64" s="95">
        <f t="shared" si="5"/>
        <v>1208613</v>
      </c>
      <c r="I64" s="95"/>
      <c r="J64" s="95">
        <v>0</v>
      </c>
      <c r="K64" s="95"/>
      <c r="L64" s="95">
        <v>0</v>
      </c>
      <c r="M64" s="95"/>
      <c r="N64" s="95">
        <f t="shared" si="6"/>
        <v>0</v>
      </c>
      <c r="O64" s="95"/>
      <c r="P64" s="95">
        <f t="shared" si="7"/>
        <v>1208613</v>
      </c>
      <c r="T64" s="46"/>
    </row>
    <row r="65" spans="2:20" ht="15.75" customHeight="1">
      <c r="B65" s="311" t="s">
        <v>750</v>
      </c>
      <c r="D65" s="95">
        <v>0</v>
      </c>
      <c r="E65" s="95"/>
      <c r="F65" s="95">
        <v>30005462</v>
      </c>
      <c r="G65" s="95"/>
      <c r="H65" s="95">
        <f t="shared" si="5"/>
        <v>30005462</v>
      </c>
      <c r="I65" s="95"/>
      <c r="J65" s="95">
        <v>79687556</v>
      </c>
      <c r="K65" s="95"/>
      <c r="L65" s="95">
        <v>86619251</v>
      </c>
      <c r="M65" s="95"/>
      <c r="N65" s="95">
        <f t="shared" si="6"/>
        <v>166306807</v>
      </c>
      <c r="O65" s="95"/>
      <c r="P65" s="95">
        <f t="shared" si="7"/>
        <v>196312269</v>
      </c>
      <c r="T65" s="46"/>
    </row>
    <row r="66" spans="2:20" ht="15.75" customHeight="1">
      <c r="B66" s="311" t="s">
        <v>80</v>
      </c>
      <c r="D66" s="95">
        <v>51815966</v>
      </c>
      <c r="E66" s="95"/>
      <c r="F66" s="95">
        <v>0</v>
      </c>
      <c r="G66" s="95"/>
      <c r="H66" s="95">
        <f t="shared" si="5"/>
        <v>51815966</v>
      </c>
      <c r="I66" s="95"/>
      <c r="J66" s="95">
        <v>34806120</v>
      </c>
      <c r="K66" s="95"/>
      <c r="L66" s="95">
        <v>0</v>
      </c>
      <c r="M66" s="95"/>
      <c r="N66" s="95">
        <f t="shared" si="6"/>
        <v>34806120</v>
      </c>
      <c r="O66" s="95"/>
      <c r="P66" s="95">
        <f t="shared" si="7"/>
        <v>86622086</v>
      </c>
      <c r="T66" s="46"/>
    </row>
    <row r="67" spans="2:20" ht="15.75" customHeight="1">
      <c r="B67" s="311" t="s">
        <v>790</v>
      </c>
      <c r="D67" s="95">
        <v>8586565</v>
      </c>
      <c r="E67" s="95"/>
      <c r="F67" s="95">
        <v>88067416</v>
      </c>
      <c r="G67" s="95"/>
      <c r="H67" s="95">
        <f t="shared" si="5"/>
        <v>96653981</v>
      </c>
      <c r="I67" s="95"/>
      <c r="J67" s="95">
        <v>0</v>
      </c>
      <c r="K67" s="95"/>
      <c r="L67" s="95">
        <v>0</v>
      </c>
      <c r="M67" s="95"/>
      <c r="N67" s="95">
        <f t="shared" si="6"/>
        <v>0</v>
      </c>
      <c r="O67" s="95"/>
      <c r="P67" s="95">
        <f t="shared" si="7"/>
        <v>96653981</v>
      </c>
      <c r="T67" s="46"/>
    </row>
    <row r="68" spans="2:20" ht="15.75" customHeight="1">
      <c r="B68" s="311" t="s">
        <v>144</v>
      </c>
      <c r="D68" s="432">
        <v>0</v>
      </c>
      <c r="E68" s="95"/>
      <c r="F68" s="432">
        <v>0</v>
      </c>
      <c r="G68" s="95"/>
      <c r="H68" s="432">
        <f t="shared" si="5"/>
        <v>0</v>
      </c>
      <c r="I68" s="95"/>
      <c r="J68" s="432">
        <v>13902836</v>
      </c>
      <c r="K68" s="95"/>
      <c r="L68" s="432">
        <v>6966139</v>
      </c>
      <c r="M68" s="95"/>
      <c r="N68" s="432">
        <f t="shared" si="6"/>
        <v>20868975</v>
      </c>
      <c r="O68" s="95"/>
      <c r="P68" s="432">
        <f t="shared" si="7"/>
        <v>20868975</v>
      </c>
      <c r="T68" s="46"/>
    </row>
    <row r="69" spans="2:20" ht="15.75" customHeight="1">
      <c r="B69" s="311"/>
      <c r="D69" s="95">
        <f>SUM(D61:D68)</f>
        <v>61611144</v>
      </c>
      <c r="E69" s="95"/>
      <c r="F69" s="95">
        <f>SUM(F61:F68)</f>
        <v>118072878</v>
      </c>
      <c r="G69" s="95"/>
      <c r="H69" s="95">
        <f>SUM(H61:H68)</f>
        <v>179684022</v>
      </c>
      <c r="I69" s="95"/>
      <c r="J69" s="95">
        <f>SUM(J61:J68)</f>
        <v>238355571</v>
      </c>
      <c r="K69" s="95"/>
      <c r="L69" s="95">
        <f>SUM(L61:L68)</f>
        <v>795509456</v>
      </c>
      <c r="M69" s="95"/>
      <c r="N69" s="95">
        <f>SUM(N61:N68)</f>
        <v>1033865027</v>
      </c>
      <c r="O69" s="95"/>
      <c r="P69" s="95">
        <f>SUM(P61:P68)</f>
        <v>1213549049</v>
      </c>
      <c r="T69" s="46"/>
    </row>
    <row r="70" spans="2:20" ht="15.75" customHeight="1" thickBot="1">
      <c r="B70" s="478" t="s">
        <v>121</v>
      </c>
      <c r="D70" s="236">
        <f>D59-D69</f>
        <v>976906154</v>
      </c>
      <c r="E70" s="95"/>
      <c r="F70" s="236">
        <f>F59-F69</f>
        <v>-91387747</v>
      </c>
      <c r="G70" s="95"/>
      <c r="H70" s="236">
        <f>H59-H69</f>
        <v>885518407</v>
      </c>
      <c r="I70" s="95"/>
      <c r="J70" s="236">
        <f>J59-J69</f>
        <v>-156779294</v>
      </c>
      <c r="K70" s="95"/>
      <c r="L70" s="236">
        <f>L59-L69</f>
        <v>-692225674</v>
      </c>
      <c r="M70" s="95"/>
      <c r="N70" s="236">
        <f>N59-N69</f>
        <v>-849004968</v>
      </c>
      <c r="O70" s="95"/>
      <c r="P70" s="236">
        <f>P59-P69</f>
        <v>36513439</v>
      </c>
      <c r="T70" s="46"/>
    </row>
    <row r="71" spans="2:20" ht="10.5" customHeight="1" thickTop="1">
      <c r="B71" s="478"/>
      <c r="D71" s="43"/>
      <c r="F71" s="43"/>
      <c r="H71" s="43"/>
      <c r="J71" s="43"/>
      <c r="L71" s="43"/>
      <c r="N71" s="43"/>
      <c r="P71" s="43"/>
      <c r="T71" s="46"/>
    </row>
    <row r="72" spans="2:20" ht="15.75" customHeight="1">
      <c r="B72" s="311" t="s">
        <v>245</v>
      </c>
      <c r="T72" s="46"/>
    </row>
    <row r="73" spans="1:9" ht="15">
      <c r="A73" s="2"/>
      <c r="B73" s="9"/>
      <c r="C73" s="2"/>
      <c r="D73" s="2"/>
      <c r="E73" s="2"/>
      <c r="F73" s="2"/>
      <c r="G73" s="2"/>
      <c r="H73" s="2"/>
      <c r="I73" s="2"/>
    </row>
    <row r="74" ht="44.25" customHeight="1"/>
    <row r="76" ht="25.5" customHeight="1"/>
    <row r="77" spans="3:16" ht="15"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63"/>
      <c r="O77" s="63"/>
      <c r="P77" s="63"/>
    </row>
    <row r="78" spans="3:16" ht="15"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</row>
    <row r="85" ht="15">
      <c r="B85" s="313"/>
    </row>
    <row r="86" ht="15">
      <c r="B86" s="315"/>
    </row>
  </sheetData>
  <mergeCells count="4">
    <mergeCell ref="D7:H7"/>
    <mergeCell ref="J7:N7"/>
    <mergeCell ref="D4:P4"/>
    <mergeCell ref="D40:P40"/>
  </mergeCells>
  <printOptions/>
  <pageMargins left="0.75" right="0.5" top="0.75" bottom="0.5" header="0.5" footer="0.5"/>
  <pageSetup fitToHeight="1" fitToWidth="1"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0"/>
  <sheetViews>
    <sheetView tabSelected="1" view="pageBreakPreview" zoomScaleSheetLayoutView="100" workbookViewId="0" topLeftCell="A1">
      <selection activeCell="D138" sqref="D138"/>
    </sheetView>
  </sheetViews>
  <sheetFormatPr defaultColWidth="9.140625" defaultRowHeight="12.75"/>
  <cols>
    <col min="1" max="1" width="6.28125" style="2" customWidth="1"/>
    <col min="2" max="2" width="9.140625" style="2" customWidth="1"/>
    <col min="3" max="3" width="11.140625" style="2" customWidth="1"/>
    <col min="4" max="4" width="10.8515625" style="2" customWidth="1"/>
    <col min="5" max="5" width="12.57421875" style="2" customWidth="1"/>
    <col min="6" max="6" width="11.28125" style="2" customWidth="1"/>
    <col min="7" max="7" width="9.57421875" style="2" customWidth="1"/>
    <col min="8" max="8" width="10.8515625" style="2" bestFit="1" customWidth="1"/>
    <col min="9" max="16384" width="9.140625" style="2" customWidth="1"/>
  </cols>
  <sheetData>
    <row r="1" spans="1:2" ht="15">
      <c r="A1" s="168" t="s">
        <v>122</v>
      </c>
      <c r="B1" s="177" t="s">
        <v>183</v>
      </c>
    </row>
    <row r="2" ht="9" customHeight="1"/>
    <row r="3" ht="15">
      <c r="B3" s="2" t="s">
        <v>725</v>
      </c>
    </row>
    <row r="4" ht="15">
      <c r="B4" s="2" t="s">
        <v>123</v>
      </c>
    </row>
    <row r="5" ht="15">
      <c r="B5" s="2" t="s">
        <v>726</v>
      </c>
    </row>
    <row r="6" ht="15">
      <c r="B6" s="2" t="s">
        <v>727</v>
      </c>
    </row>
    <row r="7" ht="15">
      <c r="B7" s="2" t="s">
        <v>728</v>
      </c>
    </row>
    <row r="9" spans="1:2" ht="15">
      <c r="A9" s="168" t="s">
        <v>124</v>
      </c>
      <c r="B9" s="177" t="s">
        <v>850</v>
      </c>
    </row>
    <row r="10" ht="11.25" customHeight="1"/>
    <row r="11" ht="15">
      <c r="B11" s="2" t="s">
        <v>729</v>
      </c>
    </row>
    <row r="12" ht="15">
      <c r="B12" s="2" t="s">
        <v>741</v>
      </c>
    </row>
    <row r="13" ht="15">
      <c r="B13" s="2" t="s">
        <v>742</v>
      </c>
    </row>
    <row r="14" ht="15">
      <c r="B14" s="2" t="s">
        <v>743</v>
      </c>
    </row>
    <row r="15" ht="15">
      <c r="B15" s="2" t="s">
        <v>744</v>
      </c>
    </row>
    <row r="17" spans="1:2" ht="15">
      <c r="A17" s="168" t="s">
        <v>125</v>
      </c>
      <c r="B17" s="177" t="s">
        <v>230</v>
      </c>
    </row>
    <row r="18" ht="8.25" customHeight="1"/>
    <row r="19" ht="15">
      <c r="B19" s="2" t="s">
        <v>441</v>
      </c>
    </row>
    <row r="20" ht="15">
      <c r="B20" s="2" t="s">
        <v>442</v>
      </c>
    </row>
    <row r="21" ht="15">
      <c r="B21" s="2" t="s">
        <v>443</v>
      </c>
    </row>
    <row r="22" ht="15">
      <c r="B22" s="2" t="s">
        <v>444</v>
      </c>
    </row>
    <row r="23" ht="15">
      <c r="B23" s="2" t="s">
        <v>445</v>
      </c>
    </row>
    <row r="24" ht="15">
      <c r="B24" s="2" t="s">
        <v>446</v>
      </c>
    </row>
    <row r="25" ht="15">
      <c r="B25" s="2" t="s">
        <v>447</v>
      </c>
    </row>
    <row r="26" ht="15">
      <c r="B26" s="2" t="s">
        <v>448</v>
      </c>
    </row>
    <row r="27" ht="15">
      <c r="B27" s="2" t="s">
        <v>449</v>
      </c>
    </row>
    <row r="28" ht="15">
      <c r="B28" s="2" t="s">
        <v>450</v>
      </c>
    </row>
    <row r="29" ht="15">
      <c r="B29" s="2" t="s">
        <v>451</v>
      </c>
    </row>
    <row r="31" spans="1:2" ht="15">
      <c r="A31" s="168" t="s">
        <v>126</v>
      </c>
      <c r="B31" s="177" t="s">
        <v>231</v>
      </c>
    </row>
    <row r="32" ht="9" customHeight="1"/>
    <row r="33" ht="15">
      <c r="B33" s="2" t="s">
        <v>452</v>
      </c>
    </row>
    <row r="34" ht="15">
      <c r="B34" s="2" t="s">
        <v>453</v>
      </c>
    </row>
    <row r="35" ht="15">
      <c r="B35" s="2" t="s">
        <v>454</v>
      </c>
    </row>
    <row r="36" ht="15">
      <c r="B36" s="2" t="s">
        <v>455</v>
      </c>
    </row>
    <row r="37" ht="15">
      <c r="B37" s="2" t="s">
        <v>456</v>
      </c>
    </row>
    <row r="38" ht="15">
      <c r="B38" s="2" t="s">
        <v>457</v>
      </c>
    </row>
    <row r="39" ht="15">
      <c r="B39" s="2" t="s">
        <v>458</v>
      </c>
    </row>
    <row r="41" ht="15">
      <c r="B41" s="2" t="s">
        <v>459</v>
      </c>
    </row>
    <row r="42" ht="15">
      <c r="B42" s="2" t="s">
        <v>460</v>
      </c>
    </row>
    <row r="43" ht="15">
      <c r="B43" s="2" t="s">
        <v>461</v>
      </c>
    </row>
    <row r="44" ht="15">
      <c r="B44" s="2" t="s">
        <v>462</v>
      </c>
    </row>
    <row r="46" ht="15">
      <c r="B46" s="2" t="s">
        <v>463</v>
      </c>
    </row>
    <row r="47" ht="15">
      <c r="B47" s="2" t="s">
        <v>464</v>
      </c>
    </row>
    <row r="48" spans="1:18" s="174" customFormat="1" ht="15">
      <c r="A48" s="393" t="s">
        <v>127</v>
      </c>
      <c r="B48" s="297" t="s">
        <v>312</v>
      </c>
      <c r="C48" s="306"/>
      <c r="D48" s="306"/>
      <c r="E48" s="306"/>
      <c r="F48" s="306"/>
      <c r="G48" s="306"/>
      <c r="H48" s="306"/>
      <c r="I48" s="306"/>
      <c r="J48" s="306"/>
      <c r="K48" s="306"/>
      <c r="R48" s="394"/>
    </row>
    <row r="49" spans="1:18" ht="8.25" customHeight="1">
      <c r="A49" s="168"/>
      <c r="B49" s="169"/>
      <c r="C49" s="128"/>
      <c r="D49" s="128"/>
      <c r="E49" s="128"/>
      <c r="F49" s="128"/>
      <c r="G49" s="128"/>
      <c r="H49" s="128"/>
      <c r="I49" s="128"/>
      <c r="J49" s="128"/>
      <c r="K49" s="128"/>
      <c r="L49" s="129"/>
      <c r="M49" s="129"/>
      <c r="N49" s="129"/>
      <c r="R49" s="3"/>
    </row>
    <row r="50" spans="1:18" ht="15">
      <c r="A50" s="168"/>
      <c r="B50" s="300" t="s">
        <v>465</v>
      </c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R50" s="3"/>
    </row>
    <row r="51" spans="1:18" ht="15">
      <c r="A51" s="168"/>
      <c r="B51" s="300" t="s">
        <v>466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R51" s="3"/>
    </row>
    <row r="52" spans="1:18" ht="15">
      <c r="A52" s="168"/>
      <c r="B52" s="300" t="s">
        <v>467</v>
      </c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R52" s="3"/>
    </row>
    <row r="53" spans="1:18" ht="15">
      <c r="A53" s="168"/>
      <c r="B53" s="300" t="s">
        <v>468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R53" s="3"/>
    </row>
    <row r="54" spans="1:18" ht="15">
      <c r="A54" s="168"/>
      <c r="B54" s="300" t="s">
        <v>469</v>
      </c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R54" s="3"/>
    </row>
    <row r="55" spans="1:18" ht="12.75" customHeight="1">
      <c r="A55" s="168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R55" s="3"/>
    </row>
    <row r="56" spans="1:18" ht="15">
      <c r="A56" s="168"/>
      <c r="B56" s="300" t="s">
        <v>470</v>
      </c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R56" s="3"/>
    </row>
    <row r="57" spans="1:18" ht="15">
      <c r="A57" s="170"/>
      <c r="B57" s="2" t="s">
        <v>471</v>
      </c>
      <c r="D57" s="3"/>
      <c r="F57" s="3"/>
      <c r="H57" s="3"/>
      <c r="R57" s="3"/>
    </row>
    <row r="58" spans="1:18" ht="12.75" customHeight="1">
      <c r="A58" s="170"/>
      <c r="D58" s="3"/>
      <c r="F58" s="3"/>
      <c r="H58" s="3"/>
      <c r="R58" s="3"/>
    </row>
    <row r="59" spans="1:2" ht="15">
      <c r="A59" s="393" t="s">
        <v>128</v>
      </c>
      <c r="B59" s="67" t="s">
        <v>169</v>
      </c>
    </row>
    <row r="60" ht="6.75" customHeight="1"/>
    <row r="61" ht="15">
      <c r="B61" s="2" t="s">
        <v>472</v>
      </c>
    </row>
    <row r="62" ht="15">
      <c r="B62" s="2" t="s">
        <v>473</v>
      </c>
    </row>
    <row r="63" ht="15">
      <c r="B63" s="2" t="s">
        <v>529</v>
      </c>
    </row>
    <row r="64" ht="15">
      <c r="B64" s="2" t="s">
        <v>530</v>
      </c>
    </row>
    <row r="65" ht="15">
      <c r="B65" s="2" t="s">
        <v>531</v>
      </c>
    </row>
    <row r="66" ht="15">
      <c r="B66" s="2" t="s">
        <v>532</v>
      </c>
    </row>
    <row r="67" ht="15">
      <c r="B67" s="2" t="s">
        <v>533</v>
      </c>
    </row>
    <row r="68" ht="15">
      <c r="B68" s="2" t="s">
        <v>534</v>
      </c>
    </row>
    <row r="69" ht="15">
      <c r="B69" s="2" t="s">
        <v>535</v>
      </c>
    </row>
    <row r="70" ht="15">
      <c r="B70" s="2" t="s">
        <v>536</v>
      </c>
    </row>
    <row r="71" ht="15">
      <c r="B71" s="2" t="s">
        <v>537</v>
      </c>
    </row>
    <row r="72" ht="15">
      <c r="B72" s="2" t="s">
        <v>538</v>
      </c>
    </row>
    <row r="73" ht="15">
      <c r="B73" s="2" t="s">
        <v>539</v>
      </c>
    </row>
    <row r="74" ht="15">
      <c r="B74" s="2" t="s">
        <v>540</v>
      </c>
    </row>
    <row r="75" ht="15">
      <c r="B75" s="2" t="s">
        <v>541</v>
      </c>
    </row>
    <row r="76" ht="15">
      <c r="B76" s="2" t="s">
        <v>542</v>
      </c>
    </row>
    <row r="77" ht="15">
      <c r="B77" s="2" t="s">
        <v>543</v>
      </c>
    </row>
    <row r="78" ht="12.75" customHeight="1"/>
    <row r="79" spans="1:2" ht="15">
      <c r="A79" s="477" t="s">
        <v>745</v>
      </c>
      <c r="B79" s="67" t="s">
        <v>899</v>
      </c>
    </row>
    <row r="80" spans="1:2" ht="6" customHeight="1">
      <c r="A80" s="9"/>
      <c r="B80" s="9"/>
    </row>
    <row r="81" spans="1:2" ht="15">
      <c r="A81" s="9"/>
      <c r="B81" s="67" t="s">
        <v>900</v>
      </c>
    </row>
    <row r="82" spans="1:2" ht="9" customHeight="1">
      <c r="A82" s="9"/>
      <c r="B82" s="9"/>
    </row>
    <row r="83" spans="1:2" ht="15">
      <c r="A83" s="9"/>
      <c r="B83" s="2" t="s">
        <v>699</v>
      </c>
    </row>
    <row r="84" spans="1:2" ht="15">
      <c r="A84" s="9"/>
      <c r="B84" s="2" t="s">
        <v>700</v>
      </c>
    </row>
    <row r="85" spans="1:2" ht="15">
      <c r="A85" s="9"/>
      <c r="B85" s="2" t="s">
        <v>701</v>
      </c>
    </row>
    <row r="86" spans="1:2" ht="15">
      <c r="A86" s="9"/>
      <c r="B86" s="2" t="s">
        <v>702</v>
      </c>
    </row>
    <row r="87" spans="1:2" ht="15">
      <c r="A87" s="9"/>
      <c r="B87" s="2" t="s">
        <v>703</v>
      </c>
    </row>
    <row r="88" ht="12.75" customHeight="1">
      <c r="A88" s="9"/>
    </row>
    <row r="89" spans="1:2" ht="15">
      <c r="A89" s="9"/>
      <c r="B89" s="67" t="s">
        <v>901</v>
      </c>
    </row>
    <row r="90" spans="1:2" ht="6" customHeight="1">
      <c r="A90" s="9"/>
      <c r="B90" s="9"/>
    </row>
    <row r="91" spans="1:2" ht="15">
      <c r="A91" s="9"/>
      <c r="B91" s="2" t="s">
        <v>902</v>
      </c>
    </row>
    <row r="92" spans="1:2" ht="15">
      <c r="A92" s="9"/>
      <c r="B92" s="2" t="s">
        <v>704</v>
      </c>
    </row>
    <row r="93" spans="1:2" ht="15">
      <c r="A93" s="9"/>
      <c r="B93" s="2" t="s">
        <v>903</v>
      </c>
    </row>
    <row r="94" spans="1:2" ht="15">
      <c r="A94" s="9"/>
      <c r="B94" s="2" t="s">
        <v>904</v>
      </c>
    </row>
    <row r="95" spans="1:2" ht="15">
      <c r="A95" s="9"/>
      <c r="B95" s="2" t="s">
        <v>705</v>
      </c>
    </row>
    <row r="96" spans="1:2" ht="15">
      <c r="A96" s="9"/>
      <c r="B96" s="9" t="s">
        <v>905</v>
      </c>
    </row>
    <row r="97" spans="1:2" ht="15">
      <c r="A97" s="9"/>
      <c r="B97" s="67" t="s">
        <v>906</v>
      </c>
    </row>
    <row r="98" spans="1:2" ht="8.25" customHeight="1">
      <c r="A98" s="9"/>
      <c r="B98" s="9"/>
    </row>
    <row r="99" spans="1:2" ht="15">
      <c r="A99" s="9"/>
      <c r="B99" s="2" t="s">
        <v>706</v>
      </c>
    </row>
    <row r="100" spans="1:2" ht="15">
      <c r="A100" s="9"/>
      <c r="B100" s="2" t="s">
        <v>907</v>
      </c>
    </row>
    <row r="101" spans="1:2" ht="15">
      <c r="A101" s="9"/>
      <c r="B101" s="2" t="s">
        <v>908</v>
      </c>
    </row>
    <row r="102" spans="1:2" ht="15">
      <c r="A102" s="9"/>
      <c r="B102" s="9"/>
    </row>
    <row r="103" spans="1:2" ht="15">
      <c r="A103" s="9"/>
      <c r="B103" s="67" t="s">
        <v>909</v>
      </c>
    </row>
    <row r="104" spans="1:2" ht="9" customHeight="1">
      <c r="A104" s="9"/>
      <c r="B104" s="9"/>
    </row>
    <row r="105" spans="1:2" ht="15">
      <c r="A105" s="9"/>
      <c r="B105" s="2" t="s">
        <v>910</v>
      </c>
    </row>
    <row r="106" spans="1:2" ht="15">
      <c r="A106" s="9"/>
      <c r="B106" s="2" t="s">
        <v>129</v>
      </c>
    </row>
    <row r="107" ht="15">
      <c r="A107" s="9"/>
    </row>
    <row r="108" spans="1:2" ht="15">
      <c r="A108" s="9"/>
      <c r="B108" s="67" t="s">
        <v>911</v>
      </c>
    </row>
    <row r="109" ht="8.25" customHeight="1">
      <c r="A109" s="9"/>
    </row>
    <row r="110" spans="1:2" ht="15">
      <c r="A110" s="9"/>
      <c r="B110" s="2" t="s">
        <v>912</v>
      </c>
    </row>
    <row r="111" spans="1:2" ht="15">
      <c r="A111" s="9"/>
      <c r="B111" s="2" t="s">
        <v>913</v>
      </c>
    </row>
    <row r="112" ht="15">
      <c r="A112" s="9"/>
    </row>
    <row r="113" spans="1:2" ht="15">
      <c r="A113" s="105" t="s">
        <v>607</v>
      </c>
      <c r="B113" s="67" t="s">
        <v>707</v>
      </c>
    </row>
    <row r="114" ht="9.75" customHeight="1">
      <c r="A114" s="9"/>
    </row>
    <row r="115" spans="1:2" ht="15">
      <c r="A115" s="9"/>
      <c r="B115" s="2" t="s">
        <v>708</v>
      </c>
    </row>
    <row r="116" spans="1:2" ht="15">
      <c r="A116" s="9"/>
      <c r="B116" s="2" t="s">
        <v>735</v>
      </c>
    </row>
    <row r="117" spans="1:2" ht="15">
      <c r="A117" s="9"/>
      <c r="B117" s="2" t="s">
        <v>709</v>
      </c>
    </row>
    <row r="118" ht="15">
      <c r="A118" s="9"/>
    </row>
    <row r="119" spans="1:2" ht="15">
      <c r="A119" s="105" t="s">
        <v>608</v>
      </c>
      <c r="B119" s="67" t="s">
        <v>710</v>
      </c>
    </row>
    <row r="120" ht="9" customHeight="1">
      <c r="A120" s="9"/>
    </row>
    <row r="121" spans="1:2" ht="15">
      <c r="A121" s="9"/>
      <c r="B121" s="2" t="s">
        <v>711</v>
      </c>
    </row>
    <row r="122" ht="15">
      <c r="A122" s="9"/>
    </row>
    <row r="123" spans="1:8" ht="15" customHeight="1">
      <c r="A123" s="9"/>
      <c r="B123" s="545" t="s">
        <v>712</v>
      </c>
      <c r="C123" s="548"/>
      <c r="D123" s="545" t="s">
        <v>713</v>
      </c>
      <c r="F123" s="549" t="s">
        <v>733</v>
      </c>
      <c r="H123" s="549" t="s">
        <v>731</v>
      </c>
    </row>
    <row r="124" spans="1:8" ht="15">
      <c r="A124" s="9"/>
      <c r="B124" s="548"/>
      <c r="C124" s="546"/>
      <c r="D124" s="546"/>
      <c r="F124" s="549" t="s">
        <v>734</v>
      </c>
      <c r="H124" s="549" t="s">
        <v>732</v>
      </c>
    </row>
    <row r="125" spans="1:8" ht="9" customHeight="1">
      <c r="A125" s="9"/>
      <c r="B125" s="548"/>
      <c r="C125" s="547"/>
      <c r="D125" s="547"/>
      <c r="E125" s="547"/>
      <c r="H125" s="547"/>
    </row>
    <row r="126" spans="1:8" ht="15" customHeight="1">
      <c r="A126" s="9"/>
      <c r="B126" s="547" t="s">
        <v>833</v>
      </c>
      <c r="C126" s="548"/>
      <c r="D126" s="547" t="s">
        <v>80</v>
      </c>
      <c r="F126" s="547" t="s">
        <v>714</v>
      </c>
      <c r="H126" s="550">
        <v>4507185</v>
      </c>
    </row>
    <row r="127" spans="1:6" ht="15">
      <c r="A127" s="9"/>
      <c r="C127" s="547"/>
      <c r="D127" s="547"/>
      <c r="E127" s="547"/>
      <c r="F127" s="547"/>
    </row>
    <row r="128" spans="1:2" ht="15">
      <c r="A128" s="172" t="s">
        <v>718</v>
      </c>
      <c r="B128" s="67" t="s">
        <v>825</v>
      </c>
    </row>
    <row r="129" ht="6" customHeight="1">
      <c r="A129" s="170"/>
    </row>
    <row r="130" spans="1:2" ht="15">
      <c r="A130" s="170"/>
      <c r="B130" s="174" t="s">
        <v>300</v>
      </c>
    </row>
    <row r="131" spans="1:2" ht="15">
      <c r="A131" s="170"/>
      <c r="B131" s="2" t="s">
        <v>4</v>
      </c>
    </row>
    <row r="132" ht="15">
      <c r="A132" s="171"/>
    </row>
    <row r="133" spans="1:2" ht="15">
      <c r="A133" s="172" t="s">
        <v>130</v>
      </c>
      <c r="B133" s="67" t="s">
        <v>824</v>
      </c>
    </row>
    <row r="134" ht="8.25" customHeight="1">
      <c r="A134" s="171"/>
    </row>
    <row r="135" spans="1:2" ht="15">
      <c r="A135" s="172"/>
      <c r="B135" s="2" t="s">
        <v>933</v>
      </c>
    </row>
    <row r="138" spans="2:8" ht="15">
      <c r="B138" s="203" t="s">
        <v>758</v>
      </c>
      <c r="E138" s="203" t="s">
        <v>29</v>
      </c>
      <c r="H138" s="43" t="s">
        <v>618</v>
      </c>
    </row>
    <row r="139" spans="2:8" ht="15">
      <c r="B139" s="23" t="s">
        <v>653</v>
      </c>
      <c r="E139" s="23" t="s">
        <v>226</v>
      </c>
      <c r="H139" s="226" t="s">
        <v>160</v>
      </c>
    </row>
    <row r="140" spans="2:8" ht="15">
      <c r="B140" s="23" t="s">
        <v>617</v>
      </c>
      <c r="E140" s="23" t="s">
        <v>159</v>
      </c>
      <c r="H140" s="40" t="s">
        <v>161</v>
      </c>
    </row>
  </sheetData>
  <printOptions/>
  <pageMargins left="0.75" right="0.5" top="1" bottom="1" header="0.5" footer="0.5"/>
  <pageSetup horizontalDpi="600" verticalDpi="600" orientation="portrait" paperSize="9" r:id="rId1"/>
  <rowBreaks count="2" manualBreakCount="2">
    <brk id="47" max="8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71"/>
  <sheetViews>
    <sheetView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3.140625" style="9" customWidth="1"/>
    <col min="2" max="4" width="10.28125" style="9" customWidth="1"/>
    <col min="5" max="5" width="8.140625" style="9" customWidth="1"/>
    <col min="6" max="6" width="10.28125" style="9" customWidth="1"/>
    <col min="7" max="7" width="13.28125" style="9" customWidth="1"/>
    <col min="8" max="8" width="10.28125" style="9" hidden="1" customWidth="1"/>
    <col min="9" max="9" width="9.00390625" style="9" bestFit="1" customWidth="1"/>
    <col min="10" max="10" width="1.7109375" style="9" customWidth="1"/>
    <col min="11" max="11" width="14.00390625" style="37" customWidth="1"/>
    <col min="12" max="12" width="2.8515625" style="37" customWidth="1"/>
    <col min="13" max="13" width="14.00390625" style="37" customWidth="1"/>
    <col min="14" max="14" width="1.28515625" style="9" customWidth="1"/>
    <col min="15" max="15" width="14.7109375" style="4" hidden="1" customWidth="1"/>
    <col min="16" max="16" width="17.7109375" style="6" hidden="1" customWidth="1"/>
    <col min="17" max="17" width="15.00390625" style="7" bestFit="1" customWidth="1"/>
    <col min="18" max="18" width="20.140625" style="6" customWidth="1"/>
    <col min="19" max="19" width="16.8515625" style="6" customWidth="1"/>
    <col min="20" max="20" width="12.140625" style="6" customWidth="1"/>
    <col min="21" max="24" width="7.57421875" style="6" customWidth="1"/>
    <col min="25" max="26" width="7.57421875" style="2" customWidth="1"/>
    <col min="27" max="16384" width="7.57421875" style="9" customWidth="1"/>
  </cols>
  <sheetData>
    <row r="1" spans="1:15" ht="18.75">
      <c r="A1" s="298" t="s">
        <v>491</v>
      </c>
      <c r="B1" s="298"/>
      <c r="C1" s="298"/>
      <c r="D1" s="298"/>
      <c r="E1" s="298"/>
      <c r="F1" s="298"/>
      <c r="G1" s="298"/>
      <c r="H1" s="298"/>
      <c r="I1" s="298"/>
      <c r="J1" s="596"/>
      <c r="K1" s="597"/>
      <c r="L1" s="598"/>
      <c r="M1" s="597"/>
      <c r="O1" s="16"/>
    </row>
    <row r="2" spans="1:15" ht="15.75">
      <c r="A2" s="599" t="s">
        <v>209</v>
      </c>
      <c r="B2" s="599"/>
      <c r="C2" s="599"/>
      <c r="D2" s="599"/>
      <c r="E2" s="599"/>
      <c r="J2" s="17"/>
      <c r="K2" s="36"/>
      <c r="M2" s="36"/>
      <c r="O2" s="16"/>
    </row>
    <row r="3" spans="1:13" ht="15">
      <c r="A3" s="19" t="s">
        <v>404</v>
      </c>
      <c r="J3" s="17"/>
      <c r="K3" s="36"/>
      <c r="M3" s="36"/>
    </row>
    <row r="4" spans="9:17" ht="15">
      <c r="I4" s="20" t="s">
        <v>103</v>
      </c>
      <c r="K4" s="38" t="s">
        <v>281</v>
      </c>
      <c r="L4" s="39"/>
      <c r="M4" s="88" t="s">
        <v>403</v>
      </c>
      <c r="Q4" s="11"/>
    </row>
    <row r="5" spans="9:17" ht="15">
      <c r="I5" s="19"/>
      <c r="J5" s="17"/>
      <c r="K5" s="567" t="s">
        <v>320</v>
      </c>
      <c r="L5" s="567"/>
      <c r="M5" s="567"/>
      <c r="Q5" s="6"/>
    </row>
    <row r="6" spans="1:13" ht="15">
      <c r="A6" s="10" t="s">
        <v>104</v>
      </c>
      <c r="I6" s="19"/>
      <c r="J6" s="17"/>
      <c r="K6" s="89"/>
      <c r="L6" s="40"/>
      <c r="M6" s="89"/>
    </row>
    <row r="7" spans="1:17" ht="15">
      <c r="A7" s="9" t="s">
        <v>373</v>
      </c>
      <c r="I7" s="20">
        <v>10</v>
      </c>
      <c r="J7" s="42"/>
      <c r="K7" s="209">
        <f>'NOTE 7 - 12.2'!K37</f>
        <v>139340</v>
      </c>
      <c r="L7" s="231"/>
      <c r="M7" s="231">
        <f>'NOTE 7 - 12.2'!O37</f>
        <v>145618</v>
      </c>
      <c r="O7" s="7"/>
      <c r="P7" s="44"/>
      <c r="Q7" s="13"/>
    </row>
    <row r="8" spans="1:17" ht="15">
      <c r="A8" s="9" t="s">
        <v>833</v>
      </c>
      <c r="I8" s="20">
        <v>6</v>
      </c>
      <c r="J8" s="42"/>
      <c r="K8" s="209">
        <f>'NOTE 5 - 6.5'!L20</f>
        <v>134568947.72729</v>
      </c>
      <c r="L8" s="231"/>
      <c r="M8" s="231">
        <f>'NOTE 5 - 6.5'!N20</f>
        <v>144020471</v>
      </c>
      <c r="O8" s="7"/>
      <c r="P8" s="44"/>
      <c r="Q8" s="12"/>
    </row>
    <row r="9" spans="1:17" ht="15">
      <c r="A9" s="9" t="s">
        <v>616</v>
      </c>
      <c r="I9" s="20">
        <v>8</v>
      </c>
      <c r="J9" s="42"/>
      <c r="K9" s="209">
        <v>0</v>
      </c>
      <c r="L9" s="231"/>
      <c r="M9" s="231">
        <v>11937000</v>
      </c>
      <c r="O9" s="7"/>
      <c r="P9" s="44"/>
      <c r="Q9" s="12"/>
    </row>
    <row r="10" spans="1:17" ht="15">
      <c r="A10" s="9" t="s">
        <v>894</v>
      </c>
      <c r="I10" s="20">
        <v>7</v>
      </c>
      <c r="J10" s="42"/>
      <c r="K10" s="232">
        <f>'NOTE 7 - 12.2'!K15</f>
        <v>1088559</v>
      </c>
      <c r="L10" s="231"/>
      <c r="M10" s="233">
        <f>'NOTE 7 - 12.2'!O15</f>
        <v>1774629</v>
      </c>
      <c r="O10" s="7"/>
      <c r="P10" s="44"/>
      <c r="Q10" s="12"/>
    </row>
    <row r="11" spans="9:17" ht="15">
      <c r="I11" s="20"/>
      <c r="J11" s="42"/>
      <c r="K11" s="209">
        <f>SUM(K7:K10)</f>
        <v>135796846.72729</v>
      </c>
      <c r="L11" s="231"/>
      <c r="M11" s="231">
        <f>SUM(M7:M10)</f>
        <v>157877718</v>
      </c>
      <c r="Q11" s="12"/>
    </row>
    <row r="12" spans="1:17" ht="15">
      <c r="A12" s="9" t="s">
        <v>64</v>
      </c>
      <c r="I12" s="20"/>
      <c r="J12" s="42"/>
      <c r="K12" s="209"/>
      <c r="L12" s="231"/>
      <c r="M12" s="231"/>
      <c r="Q12" s="12"/>
    </row>
    <row r="13" spans="1:17" ht="15">
      <c r="A13" s="9" t="s">
        <v>63</v>
      </c>
      <c r="I13" s="20">
        <v>16</v>
      </c>
      <c r="J13" s="42"/>
      <c r="K13" s="209">
        <f>'NOTE 13 - 17'!I36</f>
        <v>10524.794459998608</v>
      </c>
      <c r="L13" s="231"/>
      <c r="M13" s="231">
        <f>'NOTE 13 - 17'!K36</f>
        <v>10315</v>
      </c>
      <c r="O13" s="7"/>
      <c r="P13" s="44"/>
      <c r="Q13" s="12"/>
    </row>
    <row r="14" spans="1:17" ht="15">
      <c r="A14" s="9" t="s">
        <v>515</v>
      </c>
      <c r="I14" s="20">
        <v>11</v>
      </c>
      <c r="J14" s="42"/>
      <c r="K14" s="209">
        <v>0</v>
      </c>
      <c r="L14" s="231"/>
      <c r="M14" s="231">
        <v>9115545</v>
      </c>
      <c r="O14" s="7"/>
      <c r="P14" s="44"/>
      <c r="Q14" s="12"/>
    </row>
    <row r="15" spans="1:17" ht="15">
      <c r="A15" s="9" t="s">
        <v>753</v>
      </c>
      <c r="I15" s="20">
        <v>22.5</v>
      </c>
      <c r="J15" s="42"/>
      <c r="K15" s="209">
        <f>'Note 21.1 - 24.1'!H66</f>
        <v>8904268</v>
      </c>
      <c r="L15" s="231"/>
      <c r="M15" s="231">
        <f>'Note 21.1 - 24.1'!J66</f>
        <v>2114045</v>
      </c>
      <c r="O15" s="7"/>
      <c r="P15" s="44"/>
      <c r="Q15" s="12"/>
    </row>
    <row r="16" spans="1:17" ht="15">
      <c r="A16" s="9" t="s">
        <v>105</v>
      </c>
      <c r="I16" s="20">
        <v>12</v>
      </c>
      <c r="J16" s="42"/>
      <c r="K16" s="209">
        <f>'NOTE 7 - 12.2'!K80</f>
        <v>408378141.5239301</v>
      </c>
      <c r="L16" s="231"/>
      <c r="M16" s="231">
        <v>199272646</v>
      </c>
      <c r="O16" s="7"/>
      <c r="P16" s="44"/>
      <c r="Q16" s="12"/>
    </row>
    <row r="17" spans="1:17" ht="15">
      <c r="A17" s="9" t="s">
        <v>106</v>
      </c>
      <c r="I17" s="20">
        <v>17</v>
      </c>
      <c r="J17" s="42"/>
      <c r="K17" s="209">
        <f>'NOTE 13 - 17'!I49</f>
        <v>233366049.54081</v>
      </c>
      <c r="L17" s="231"/>
      <c r="M17" s="231">
        <v>224254125</v>
      </c>
      <c r="O17" s="7"/>
      <c r="P17" s="44"/>
      <c r="Q17" s="12"/>
    </row>
    <row r="18" spans="1:17" ht="15">
      <c r="A18" s="9" t="s">
        <v>749</v>
      </c>
      <c r="I18" s="20"/>
      <c r="J18" s="42"/>
      <c r="K18" s="209"/>
      <c r="L18" s="231"/>
      <c r="M18" s="231"/>
      <c r="P18" s="44"/>
      <c r="Q18" s="12"/>
    </row>
    <row r="19" spans="1:16" ht="15">
      <c r="A19" s="9" t="s">
        <v>836</v>
      </c>
      <c r="G19" s="46"/>
      <c r="H19" s="46"/>
      <c r="I19" s="20">
        <v>18</v>
      </c>
      <c r="J19" s="42"/>
      <c r="K19" s="209">
        <f>'NOTE 18 - 19.1'!V14</f>
        <v>4374048.318849999</v>
      </c>
      <c r="L19" s="231"/>
      <c r="M19" s="231">
        <f>'NOTE 18 - 19.1'!X14</f>
        <v>4082161</v>
      </c>
      <c r="O19" s="7"/>
      <c r="P19" s="44"/>
    </row>
    <row r="20" spans="1:16" ht="15">
      <c r="A20" s="9" t="s">
        <v>2</v>
      </c>
      <c r="I20" s="20">
        <v>19</v>
      </c>
      <c r="J20" s="42"/>
      <c r="K20" s="209">
        <f>'NOTE 18 - 19.1'!V23</f>
        <v>19547984</v>
      </c>
      <c r="L20" s="231"/>
      <c r="M20" s="214">
        <v>7111835</v>
      </c>
      <c r="P20" s="44"/>
    </row>
    <row r="21" spans="1:16" ht="15">
      <c r="A21" s="9" t="s">
        <v>133</v>
      </c>
      <c r="I21" s="20">
        <v>20</v>
      </c>
      <c r="J21" s="42"/>
      <c r="K21" s="209">
        <f>'NOTE 19.2 - 21'!P34</f>
        <v>115681</v>
      </c>
      <c r="L21" s="231"/>
      <c r="M21" s="214">
        <f>'NOTE 19.2 - 21'!P37</f>
        <v>20871</v>
      </c>
      <c r="P21" s="44"/>
    </row>
    <row r="22" spans="1:17" ht="15">
      <c r="A22" s="9" t="s">
        <v>134</v>
      </c>
      <c r="G22" s="46"/>
      <c r="H22" s="46"/>
      <c r="I22" s="20">
        <v>21</v>
      </c>
      <c r="J22" s="42"/>
      <c r="K22" s="209">
        <f>'NOTE 19.2 - 21'!P51</f>
        <v>12612292.49731</v>
      </c>
      <c r="L22" s="231"/>
      <c r="M22" s="231">
        <f>'NOTE 19.2 - 21'!R51</f>
        <v>7938056</v>
      </c>
      <c r="P22" s="44"/>
      <c r="Q22" s="12"/>
    </row>
    <row r="23" spans="1:17" ht="15">
      <c r="A23" s="9" t="s">
        <v>620</v>
      </c>
      <c r="I23" s="20"/>
      <c r="J23" s="42"/>
      <c r="K23" s="500">
        <f>K22+K20+K19+K17+K15+K16+K13+K11+K14+K21+1</f>
        <v>823105837.40265</v>
      </c>
      <c r="L23" s="231"/>
      <c r="M23" s="501">
        <f>M22+M20+M19+M17+M15+M16+M13+M11+M14+M21</f>
        <v>611797317</v>
      </c>
      <c r="Q23" s="12"/>
    </row>
    <row r="24" spans="9:17" ht="11.25" customHeight="1">
      <c r="I24" s="20"/>
      <c r="J24" s="42"/>
      <c r="K24" s="206"/>
      <c r="L24" s="214"/>
      <c r="M24" s="214"/>
      <c r="Q24" s="12"/>
    </row>
    <row r="25" spans="1:13" ht="15">
      <c r="A25" s="10" t="s">
        <v>942</v>
      </c>
      <c r="G25" s="8"/>
      <c r="H25" s="8"/>
      <c r="I25" s="20"/>
      <c r="J25" s="42"/>
      <c r="K25" s="209"/>
      <c r="L25" s="231"/>
      <c r="M25" s="231"/>
    </row>
    <row r="26" spans="1:15" ht="15">
      <c r="A26" s="9" t="s">
        <v>136</v>
      </c>
      <c r="I26" s="20"/>
      <c r="J26" s="42"/>
      <c r="K26" s="210">
        <v>472733</v>
      </c>
      <c r="L26" s="231"/>
      <c r="M26" s="280">
        <v>1099683</v>
      </c>
      <c r="N26" s="18"/>
      <c r="O26" s="7"/>
    </row>
    <row r="27" spans="1:17" ht="15">
      <c r="A27" s="9" t="s">
        <v>378</v>
      </c>
      <c r="I27" s="20">
        <v>22</v>
      </c>
      <c r="J27" s="42"/>
      <c r="K27" s="211">
        <f>'Note 21.1 - 24.1'!H18</f>
        <v>147097122</v>
      </c>
      <c r="L27" s="231"/>
      <c r="M27" s="301">
        <v>104917734</v>
      </c>
      <c r="N27" s="18"/>
      <c r="O27" s="79"/>
      <c r="Q27" s="13"/>
    </row>
    <row r="28" spans="1:17" ht="15">
      <c r="A28" s="9" t="s">
        <v>920</v>
      </c>
      <c r="G28" s="14"/>
      <c r="H28" s="14"/>
      <c r="I28" s="20">
        <v>23</v>
      </c>
      <c r="J28" s="42"/>
      <c r="K28" s="211">
        <v>60491003</v>
      </c>
      <c r="L28" s="231"/>
      <c r="M28" s="301">
        <v>1208613</v>
      </c>
      <c r="N28" s="18"/>
      <c r="O28" s="7"/>
      <c r="P28" s="44"/>
      <c r="Q28" s="13"/>
    </row>
    <row r="29" spans="1:18" ht="15">
      <c r="A29" s="9" t="s">
        <v>750</v>
      </c>
      <c r="I29" s="20">
        <v>24</v>
      </c>
      <c r="J29" s="42"/>
      <c r="K29" s="211">
        <f>'Note 21.1 - 24.1'!H90</f>
        <v>207574257</v>
      </c>
      <c r="L29" s="231"/>
      <c r="M29" s="301">
        <f>'Note 21.1 - 24.1'!J90</f>
        <v>196312269</v>
      </c>
      <c r="N29" s="18"/>
      <c r="O29" s="7"/>
      <c r="Q29" s="13"/>
      <c r="R29" s="44"/>
    </row>
    <row r="30" spans="1:17" ht="15">
      <c r="A30" s="9" t="s">
        <v>80</v>
      </c>
      <c r="I30" s="20">
        <v>25</v>
      </c>
      <c r="J30" s="42"/>
      <c r="K30" s="211">
        <f>'NOTE 25 - 26.1'!E17</f>
        <v>104641241.90129</v>
      </c>
      <c r="L30" s="231"/>
      <c r="M30" s="301">
        <f>'NOTE 25 - 26.1'!G17</f>
        <v>91129271</v>
      </c>
      <c r="N30" s="18"/>
      <c r="O30" s="7"/>
      <c r="P30" s="44"/>
      <c r="Q30" s="8"/>
    </row>
    <row r="31" spans="1:17" ht="15">
      <c r="A31" s="9" t="s">
        <v>751</v>
      </c>
      <c r="I31" s="20">
        <v>26</v>
      </c>
      <c r="J31" s="42"/>
      <c r="K31" s="211">
        <f>'NOTE 25 - 26.1'!E44</f>
        <v>89866240.26704</v>
      </c>
      <c r="L31" s="231"/>
      <c r="M31" s="301">
        <f>'NOTE 25 - 26.1'!G44</f>
        <v>96653981</v>
      </c>
      <c r="N31" s="18"/>
      <c r="O31" s="7"/>
      <c r="P31" s="44"/>
      <c r="Q31" s="13"/>
    </row>
    <row r="32" spans="1:17" ht="15">
      <c r="A32" s="9" t="s">
        <v>144</v>
      </c>
      <c r="G32" s="138"/>
      <c r="H32" s="138"/>
      <c r="I32" s="20">
        <v>27</v>
      </c>
      <c r="J32" s="42"/>
      <c r="K32" s="212">
        <f>'NOTE 26.2 - 27.1'!E33</f>
        <v>60997960.16481</v>
      </c>
      <c r="L32" s="231"/>
      <c r="M32" s="281">
        <v>24010325</v>
      </c>
      <c r="O32" s="15">
        <v>24070325</v>
      </c>
      <c r="P32" s="44"/>
      <c r="Q32" s="13"/>
    </row>
    <row r="33" spans="10:17" ht="15">
      <c r="J33" s="42"/>
      <c r="K33" s="209">
        <f>SUM(K26:K32)</f>
        <v>671140557.3331399</v>
      </c>
      <c r="L33" s="231"/>
      <c r="M33" s="231">
        <f>SUM(M26:M32)</f>
        <v>515331876</v>
      </c>
      <c r="O33" s="15">
        <f>K32-O32</f>
        <v>36927635.16481</v>
      </c>
      <c r="P33" s="44"/>
      <c r="Q33" s="13"/>
    </row>
    <row r="34" spans="1:16" ht="15">
      <c r="A34" s="9" t="s">
        <v>145</v>
      </c>
      <c r="I34" s="20">
        <v>28</v>
      </c>
      <c r="J34" s="42"/>
      <c r="K34" s="209">
        <f>'NOTE 27.2 - 32'!L28</f>
        <v>10812989.65418</v>
      </c>
      <c r="L34" s="231"/>
      <c r="M34" s="231">
        <f>'NOTE 27.2 - 32'!N28</f>
        <v>9779959</v>
      </c>
      <c r="P34" s="49"/>
    </row>
    <row r="35" spans="1:16" ht="15">
      <c r="A35" s="9" t="s">
        <v>610</v>
      </c>
      <c r="I35" s="20"/>
      <c r="J35" s="42"/>
      <c r="K35" s="209">
        <v>59431</v>
      </c>
      <c r="L35" s="231"/>
      <c r="M35" s="231">
        <v>0</v>
      </c>
      <c r="P35" s="49"/>
    </row>
    <row r="36" spans="1:15" ht="15">
      <c r="A36" s="9" t="s">
        <v>646</v>
      </c>
      <c r="I36" s="20">
        <v>29</v>
      </c>
      <c r="J36" s="42"/>
      <c r="K36" s="209">
        <f>'NOTE 27.2 - 32'!L34</f>
        <v>426608</v>
      </c>
      <c r="L36" s="231"/>
      <c r="M36" s="231">
        <f>'NOTE 27.2 - 32'!N34</f>
        <v>414061</v>
      </c>
      <c r="O36" s="7"/>
    </row>
    <row r="37" spans="1:13" ht="15">
      <c r="A37" s="9" t="s">
        <v>146</v>
      </c>
      <c r="I37" s="20"/>
      <c r="J37" s="42"/>
      <c r="K37" s="500">
        <f>SUM(K33:K36)</f>
        <v>682439585.98732</v>
      </c>
      <c r="L37" s="231"/>
      <c r="M37" s="501">
        <f>SUM(M33:M36)</f>
        <v>525525896</v>
      </c>
    </row>
    <row r="38" spans="9:13" ht="15">
      <c r="I38" s="20"/>
      <c r="J38" s="42"/>
      <c r="K38" s="209"/>
      <c r="L38" s="231"/>
      <c r="M38" s="231"/>
    </row>
    <row r="39" spans="1:16" ht="15.75" thickBot="1">
      <c r="A39" s="10" t="s">
        <v>397</v>
      </c>
      <c r="I39" s="20"/>
      <c r="J39" s="42"/>
      <c r="K39" s="502">
        <f>+K23-K37</f>
        <v>140666251.41533005</v>
      </c>
      <c r="L39" s="231"/>
      <c r="M39" s="503">
        <f>+M23-M37</f>
        <v>86271421</v>
      </c>
      <c r="P39" s="49"/>
    </row>
    <row r="40" spans="9:13" ht="7.5" customHeight="1" thickTop="1">
      <c r="I40" s="20"/>
      <c r="J40" s="42"/>
      <c r="K40" s="209"/>
      <c r="L40" s="231"/>
      <c r="M40" s="231"/>
    </row>
    <row r="41" spans="1:13" ht="15">
      <c r="A41" s="9" t="s">
        <v>147</v>
      </c>
      <c r="I41" s="20">
        <v>30</v>
      </c>
      <c r="J41" s="42"/>
      <c r="K41" s="209">
        <f>'NOTE 27.2 - 32'!L45</f>
        <v>100000</v>
      </c>
      <c r="L41" s="231"/>
      <c r="M41" s="231">
        <f>'NOTE 27.2 - 32'!N45</f>
        <v>100000</v>
      </c>
    </row>
    <row r="42" spans="1:13" ht="15">
      <c r="A42" s="9" t="s">
        <v>422</v>
      </c>
      <c r="I42" s="20">
        <v>31</v>
      </c>
      <c r="J42" s="42"/>
      <c r="K42" s="209">
        <v>1525958</v>
      </c>
      <c r="L42" s="231"/>
      <c r="M42" s="231">
        <v>1525958</v>
      </c>
    </row>
    <row r="43" spans="1:13" ht="15">
      <c r="A43" s="9" t="s">
        <v>148</v>
      </c>
      <c r="I43" s="20">
        <v>32</v>
      </c>
      <c r="J43" s="42"/>
      <c r="K43" s="209">
        <v>26714473.998</v>
      </c>
      <c r="L43" s="231"/>
      <c r="M43" s="231">
        <v>16714474</v>
      </c>
    </row>
    <row r="44" spans="1:13" ht="15">
      <c r="A44" s="9" t="s">
        <v>277</v>
      </c>
      <c r="I44" s="20"/>
      <c r="J44" s="42"/>
      <c r="K44" s="232">
        <f>'ST OF EQ'!V47</f>
        <v>19142000.134420022</v>
      </c>
      <c r="L44" s="231"/>
      <c r="M44" s="233">
        <v>10060000</v>
      </c>
    </row>
    <row r="45" spans="7:15" ht="15">
      <c r="G45" s="37"/>
      <c r="H45" s="37"/>
      <c r="I45" s="20"/>
      <c r="J45" s="42"/>
      <c r="K45" s="209">
        <f>SUM(K41:K44)</f>
        <v>47482432.13242002</v>
      </c>
      <c r="L45" s="231"/>
      <c r="M45" s="231">
        <f>SUM(M41:M44)</f>
        <v>28400432</v>
      </c>
      <c r="O45" s="4">
        <f>M39-M50</f>
        <v>0</v>
      </c>
    </row>
    <row r="46" spans="9:13" ht="15" hidden="1">
      <c r="I46" s="20"/>
      <c r="J46" s="42"/>
      <c r="K46" s="209"/>
      <c r="L46" s="231"/>
      <c r="M46" s="231"/>
    </row>
    <row r="47" spans="1:13" ht="15">
      <c r="A47" s="9" t="s">
        <v>752</v>
      </c>
      <c r="I47" s="20">
        <v>33</v>
      </c>
      <c r="J47" s="42"/>
      <c r="K47" s="209">
        <f>'NOTE 27.2 - 32'!L85</f>
        <v>74406912</v>
      </c>
      <c r="L47" s="231"/>
      <c r="M47" s="231">
        <f>'NOTE 27.2 - 32'!N85</f>
        <v>51646593</v>
      </c>
    </row>
    <row r="48" spans="1:13" ht="15">
      <c r="A48" s="9" t="s">
        <v>3</v>
      </c>
      <c r="I48" s="20">
        <v>19.2</v>
      </c>
      <c r="J48" s="42"/>
      <c r="K48" s="209">
        <f>'NOTE 19.2 - 21'!P7</f>
        <v>18747014</v>
      </c>
      <c r="L48" s="231"/>
      <c r="M48" s="231">
        <f>'NOTE 19.2 - 21'!R7</f>
        <v>6194503</v>
      </c>
    </row>
    <row r="49" spans="1:13" ht="15">
      <c r="A49" s="9" t="s">
        <v>931</v>
      </c>
      <c r="I49" s="20"/>
      <c r="J49" s="42"/>
      <c r="K49" s="209">
        <v>29893</v>
      </c>
      <c r="L49" s="231"/>
      <c r="M49" s="231">
        <v>29893</v>
      </c>
    </row>
    <row r="50" spans="9:13" ht="15.75" thickBot="1">
      <c r="I50" s="19"/>
      <c r="J50" s="42"/>
      <c r="K50" s="213">
        <f>SUM(K45:K49)</f>
        <v>140666251.13242</v>
      </c>
      <c r="L50" s="231"/>
      <c r="M50" s="236">
        <f>SUM(M45:M49)</f>
        <v>86271421</v>
      </c>
    </row>
    <row r="51" spans="9:13" ht="6" customHeight="1" thickTop="1">
      <c r="I51" s="19"/>
      <c r="J51" s="42"/>
      <c r="K51" s="59"/>
      <c r="L51" s="43"/>
      <c r="M51" s="43"/>
    </row>
    <row r="52" spans="1:15" ht="15">
      <c r="A52" s="67" t="s">
        <v>785</v>
      </c>
      <c r="I52" s="51">
        <v>34</v>
      </c>
      <c r="J52" s="42"/>
      <c r="L52" s="53"/>
      <c r="M52" s="52"/>
      <c r="O52" s="220">
        <f>K50-K39</f>
        <v>-0.2829100489616394</v>
      </c>
    </row>
    <row r="53" spans="9:13" ht="15">
      <c r="I53" s="22"/>
      <c r="J53" s="48"/>
      <c r="K53" s="220"/>
      <c r="L53" s="147"/>
      <c r="M53" s="220"/>
    </row>
    <row r="54" spans="1:10" ht="15">
      <c r="A54" s="397" t="str">
        <f>'BS-ISS'!A36</f>
        <v>The annexed notes 1 to 52 form an integral part of these financial statements.</v>
      </c>
      <c r="J54" s="17"/>
    </row>
    <row r="55" spans="3:13" ht="15">
      <c r="C55" s="203" t="s">
        <v>758</v>
      </c>
      <c r="D55" s="17"/>
      <c r="E55" s="17"/>
      <c r="F55" s="17"/>
      <c r="G55" s="203" t="s">
        <v>29</v>
      </c>
      <c r="H55" s="203"/>
      <c r="J55" s="17"/>
      <c r="K55" s="52"/>
      <c r="L55" s="43" t="s">
        <v>618</v>
      </c>
      <c r="M55" s="52"/>
    </row>
    <row r="56" spans="1:13" ht="15">
      <c r="A56" s="10"/>
      <c r="C56" s="23" t="s">
        <v>888</v>
      </c>
      <c r="D56" s="23"/>
      <c r="E56" s="23"/>
      <c r="F56" s="23"/>
      <c r="G56" s="23" t="s">
        <v>226</v>
      </c>
      <c r="H56" s="23"/>
      <c r="K56" s="52"/>
      <c r="L56" s="226" t="s">
        <v>160</v>
      </c>
      <c r="M56" s="52"/>
    </row>
    <row r="57" spans="3:13" ht="15">
      <c r="C57" s="23" t="s">
        <v>617</v>
      </c>
      <c r="D57" s="23"/>
      <c r="E57" s="23"/>
      <c r="F57" s="23"/>
      <c r="G57" s="23" t="s">
        <v>159</v>
      </c>
      <c r="H57" s="23"/>
      <c r="K57" s="54"/>
      <c r="L57" s="40" t="s">
        <v>161</v>
      </c>
      <c r="M57" s="54"/>
    </row>
    <row r="58" spans="9:13" ht="32.25" customHeight="1" hidden="1" thickBot="1">
      <c r="I58" s="222" t="s">
        <v>508</v>
      </c>
      <c r="J58" s="223"/>
      <c r="K58" s="316">
        <f>K39-K50</f>
        <v>0.2829100489616394</v>
      </c>
      <c r="L58" s="228"/>
      <c r="M58" s="229">
        <f>M39-M50</f>
        <v>0</v>
      </c>
    </row>
    <row r="59" spans="1:14" ht="15" hidden="1">
      <c r="A59" s="2"/>
      <c r="B59" s="2"/>
      <c r="C59" s="2"/>
      <c r="D59" s="2"/>
      <c r="E59" s="2"/>
      <c r="F59" s="2"/>
      <c r="G59" s="2"/>
      <c r="H59" s="2"/>
      <c r="I59" s="2"/>
      <c r="J59" s="2"/>
      <c r="L59" s="55"/>
      <c r="M59" s="55"/>
      <c r="N59" s="2"/>
    </row>
    <row r="60" spans="1:26" s="10" customFormat="1" ht="15">
      <c r="A60" s="2"/>
      <c r="B60" s="2"/>
      <c r="C60" s="2"/>
      <c r="D60" s="2"/>
      <c r="E60" s="2"/>
      <c r="F60" s="2"/>
      <c r="G60" s="2"/>
      <c r="H60" s="2"/>
      <c r="K60" s="54"/>
      <c r="L60" s="54"/>
      <c r="M60" s="54"/>
      <c r="N60" s="2"/>
      <c r="O60" s="4"/>
      <c r="P60" s="6"/>
      <c r="Q60" s="7"/>
      <c r="R60" s="6"/>
      <c r="S60" s="6"/>
      <c r="T60" s="6"/>
      <c r="U60" s="6"/>
      <c r="V60" s="6"/>
      <c r="W60" s="6"/>
      <c r="X60" s="6"/>
      <c r="Y60" s="2"/>
      <c r="Z60" s="2"/>
    </row>
    <row r="61" spans="1:14" ht="15">
      <c r="A61" s="2"/>
      <c r="B61" s="2"/>
      <c r="C61" s="2"/>
      <c r="D61" s="2"/>
      <c r="E61" s="2"/>
      <c r="F61" s="2"/>
      <c r="G61" s="2"/>
      <c r="H61" s="2"/>
      <c r="I61" s="2"/>
      <c r="J61" s="2"/>
      <c r="L61" s="55"/>
      <c r="M61" s="55"/>
      <c r="N61" s="2"/>
    </row>
    <row r="62" spans="1:14" ht="15">
      <c r="A62" s="2"/>
      <c r="B62" s="2"/>
      <c r="C62" s="2"/>
      <c r="D62" s="2"/>
      <c r="E62" s="2"/>
      <c r="F62" s="2"/>
      <c r="G62" s="2"/>
      <c r="H62" s="2"/>
      <c r="I62" s="2"/>
      <c r="J62" s="2"/>
      <c r="L62" s="55"/>
      <c r="M62" s="55"/>
      <c r="N62" s="2"/>
    </row>
    <row r="63" spans="1:14" ht="15">
      <c r="A63" s="2"/>
      <c r="B63" s="2"/>
      <c r="C63" s="2"/>
      <c r="D63" s="2"/>
      <c r="E63" s="2"/>
      <c r="F63" s="2"/>
      <c r="G63" s="2"/>
      <c r="H63" s="2"/>
      <c r="I63" s="2"/>
      <c r="J63" s="2"/>
      <c r="L63" s="55"/>
      <c r="M63" s="55"/>
      <c r="N63" s="2"/>
    </row>
    <row r="64" spans="1:14" ht="15">
      <c r="A64" s="2"/>
      <c r="B64" s="2"/>
      <c r="C64" s="2"/>
      <c r="D64" s="2"/>
      <c r="E64" s="2"/>
      <c r="F64" s="2"/>
      <c r="G64" s="2"/>
      <c r="H64" s="2"/>
      <c r="I64" s="2"/>
      <c r="J64" s="2"/>
      <c r="L64" s="55"/>
      <c r="M64" s="55"/>
      <c r="N64" s="2"/>
    </row>
    <row r="65" spans="1:14" ht="15">
      <c r="A65" s="2"/>
      <c r="B65" s="2"/>
      <c r="C65" s="2"/>
      <c r="D65" s="2"/>
      <c r="E65" s="2"/>
      <c r="F65" s="2"/>
      <c r="G65" s="2"/>
      <c r="H65" s="2"/>
      <c r="I65" s="2"/>
      <c r="J65" s="2"/>
      <c r="L65" s="55"/>
      <c r="M65" s="55"/>
      <c r="N65" s="2"/>
    </row>
    <row r="66" spans="1:14" ht="15">
      <c r="A66" s="2"/>
      <c r="B66" s="2"/>
      <c r="C66" s="2"/>
      <c r="D66" s="2"/>
      <c r="E66" s="2"/>
      <c r="F66" s="2"/>
      <c r="G66" s="2"/>
      <c r="H66" s="2"/>
      <c r="I66" s="2"/>
      <c r="J66" s="2"/>
      <c r="L66" s="55"/>
      <c r="M66" s="55"/>
      <c r="N66" s="2"/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L67" s="55"/>
      <c r="M67" s="55"/>
      <c r="N67" s="2"/>
    </row>
    <row r="68" spans="10:13" ht="15">
      <c r="J68" s="17"/>
      <c r="K68" s="43"/>
      <c r="L68" s="56"/>
      <c r="M68" s="43"/>
    </row>
    <row r="69" spans="10:13" ht="15">
      <c r="J69" s="17"/>
      <c r="K69" s="52"/>
      <c r="L69" s="56"/>
      <c r="M69" s="52"/>
    </row>
    <row r="70" spans="10:13" ht="15">
      <c r="J70" s="17"/>
      <c r="K70" s="52"/>
      <c r="L70" s="56"/>
      <c r="M70" s="52"/>
    </row>
    <row r="71" spans="10:13" ht="15">
      <c r="J71" s="17"/>
      <c r="K71" s="52"/>
      <c r="L71" s="56"/>
      <c r="M71" s="52"/>
    </row>
  </sheetData>
  <mergeCells count="1">
    <mergeCell ref="K5:M5"/>
  </mergeCells>
  <printOptions/>
  <pageMargins left="0.75" right="0.5" top="0.9" bottom="0.62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1:L40"/>
  <sheetViews>
    <sheetView view="pageBreakPreview" zoomScaleSheetLayoutView="100" workbookViewId="0" topLeftCell="A1">
      <selection activeCell="F44" sqref="F44"/>
    </sheetView>
  </sheetViews>
  <sheetFormatPr defaultColWidth="9.140625" defaultRowHeight="12.75"/>
  <cols>
    <col min="1" max="1" width="0.5625" style="9" customWidth="1"/>
    <col min="2" max="2" width="2.57421875" style="9" customWidth="1"/>
    <col min="3" max="3" width="4.00390625" style="9" customWidth="1"/>
    <col min="4" max="4" width="10.00390625" style="9" customWidth="1"/>
    <col min="5" max="5" width="10.28125" style="9" customWidth="1"/>
    <col min="6" max="6" width="10.00390625" style="9" customWidth="1"/>
    <col min="7" max="7" width="6.57421875" style="9" customWidth="1"/>
    <col min="8" max="8" width="9.28125" style="9" customWidth="1"/>
    <col min="9" max="9" width="9.7109375" style="9" customWidth="1"/>
    <col min="10" max="10" width="13.28125" style="59" customWidth="1"/>
    <col min="11" max="11" width="1.7109375" style="37" customWidth="1"/>
    <col min="12" max="12" width="13.28125" style="37" customWidth="1"/>
    <col min="13" max="21" width="7.57421875" style="2" customWidth="1"/>
    <col min="22" max="16384" width="7.57421875" style="9" customWidth="1"/>
  </cols>
  <sheetData>
    <row r="1" spans="2:10" ht="20.25">
      <c r="B1" s="35" t="s">
        <v>206</v>
      </c>
      <c r="C1" s="141"/>
      <c r="D1" s="141"/>
      <c r="E1" s="141"/>
      <c r="F1" s="141"/>
      <c r="G1" s="141"/>
      <c r="H1" s="141"/>
      <c r="I1" s="10"/>
      <c r="J1" s="107"/>
    </row>
    <row r="2" spans="2:8" ht="18.75">
      <c r="B2" s="299" t="s">
        <v>208</v>
      </c>
      <c r="C2" s="141"/>
      <c r="D2" s="141"/>
      <c r="E2" s="141"/>
      <c r="F2" s="141"/>
      <c r="G2" s="141"/>
      <c r="H2" s="141"/>
    </row>
    <row r="3" spans="2:8" ht="15">
      <c r="B3" s="57" t="s">
        <v>651</v>
      </c>
      <c r="C3" s="141"/>
      <c r="D3" s="141"/>
      <c r="E3" s="141"/>
      <c r="F3" s="141"/>
      <c r="G3" s="141"/>
      <c r="H3" s="141"/>
    </row>
    <row r="4" spans="9:12" ht="15">
      <c r="I4" s="20" t="s">
        <v>103</v>
      </c>
      <c r="J4" s="230" t="s">
        <v>281</v>
      </c>
      <c r="K4" s="39"/>
      <c r="L4" s="88" t="s">
        <v>403</v>
      </c>
    </row>
    <row r="5" spans="9:12" ht="15">
      <c r="I5" s="20"/>
      <c r="J5" s="567" t="s">
        <v>320</v>
      </c>
      <c r="K5" s="567"/>
      <c r="L5" s="567"/>
    </row>
    <row r="6" spans="2:12" ht="15">
      <c r="B6" s="9" t="s">
        <v>516</v>
      </c>
      <c r="I6" s="51">
        <v>35</v>
      </c>
      <c r="J6" s="206">
        <f>'NOTE 33 - 34'!M47</f>
        <v>69940502.44988</v>
      </c>
      <c r="K6" s="231"/>
      <c r="L6" s="231">
        <f>'NOTE 33 - 34'!O47</f>
        <v>29757648.94332</v>
      </c>
    </row>
    <row r="7" spans="2:12" ht="15">
      <c r="B7" s="9" t="s">
        <v>351</v>
      </c>
      <c r="D7" s="30"/>
      <c r="E7" s="30"/>
      <c r="F7" s="30"/>
      <c r="G7" s="30"/>
      <c r="H7" s="30"/>
      <c r="I7" s="51">
        <v>36</v>
      </c>
      <c r="J7" s="232">
        <f>'NOTE 35 - 39'!J6</f>
        <v>4047801.8434399995</v>
      </c>
      <c r="K7" s="231"/>
      <c r="L7" s="233">
        <f>'NOTE 35 - 39'!L6</f>
        <v>2284108</v>
      </c>
    </row>
    <row r="8" spans="4:12" ht="15">
      <c r="D8" s="30"/>
      <c r="E8" s="30"/>
      <c r="F8" s="30"/>
      <c r="G8" s="30"/>
      <c r="H8" s="30"/>
      <c r="I8" s="51"/>
      <c r="J8" s="209">
        <f>J6-J7-1</f>
        <v>65892699.60644001</v>
      </c>
      <c r="K8" s="231"/>
      <c r="L8" s="231">
        <f>L6-L7</f>
        <v>27473540.94332</v>
      </c>
    </row>
    <row r="9" spans="2:12" ht="15">
      <c r="B9" s="30" t="s">
        <v>276</v>
      </c>
      <c r="I9" s="51">
        <v>37</v>
      </c>
      <c r="J9" s="206">
        <f>'NOTE 35 - 39'!J15</f>
        <v>441032.62843</v>
      </c>
      <c r="K9" s="231"/>
      <c r="L9" s="231">
        <f>'NOTE 35 - 39'!L15</f>
        <v>692958</v>
      </c>
    </row>
    <row r="10" spans="2:12" ht="15">
      <c r="B10" s="9" t="s">
        <v>921</v>
      </c>
      <c r="I10" s="51">
        <v>38</v>
      </c>
      <c r="J10" s="206">
        <f>'NOTE 35 - 39'!J30</f>
        <v>4376273.24675</v>
      </c>
      <c r="K10" s="231"/>
      <c r="L10" s="231">
        <f>'NOTE 35 - 39'!L30</f>
        <v>13827713</v>
      </c>
    </row>
    <row r="11" spans="2:12" ht="15">
      <c r="B11" s="9" t="s">
        <v>391</v>
      </c>
      <c r="I11" s="51"/>
      <c r="J11" s="206">
        <v>1974628</v>
      </c>
      <c r="K11" s="231"/>
      <c r="L11" s="231">
        <v>1502638.583</v>
      </c>
    </row>
    <row r="12" spans="2:12" ht="15">
      <c r="B12" s="30" t="s">
        <v>487</v>
      </c>
      <c r="I12" s="51">
        <v>39</v>
      </c>
      <c r="J12" s="232">
        <f>'NOTE 35 - 39'!J39</f>
        <v>799545.04815</v>
      </c>
      <c r="K12" s="231"/>
      <c r="L12" s="233">
        <f>'NOTE 35 - 39'!L39</f>
        <v>327904</v>
      </c>
    </row>
    <row r="13" spans="9:12" ht="15">
      <c r="I13" s="19"/>
      <c r="J13" s="209">
        <f>SUM(J8:J12)</f>
        <v>73484178.52977002</v>
      </c>
      <c r="K13" s="231"/>
      <c r="L13" s="231">
        <f>SUM(L8:L12)</f>
        <v>43824754.526319996</v>
      </c>
    </row>
    <row r="14" spans="2:12" ht="15">
      <c r="B14" s="9" t="s">
        <v>686</v>
      </c>
      <c r="I14" s="19"/>
      <c r="J14" s="206"/>
      <c r="K14" s="214"/>
      <c r="L14" s="214"/>
    </row>
    <row r="15" spans="2:12" ht="6.75" customHeight="1">
      <c r="B15" s="60"/>
      <c r="I15" s="20"/>
      <c r="J15" s="209"/>
      <c r="K15" s="231"/>
      <c r="L15" s="231"/>
    </row>
    <row r="16" spans="2:12" ht="15">
      <c r="B16" s="9" t="s">
        <v>634</v>
      </c>
      <c r="I16" s="51">
        <v>40</v>
      </c>
      <c r="J16" s="206">
        <v>2431476.4674</v>
      </c>
      <c r="K16" s="231"/>
      <c r="L16" s="214">
        <v>2486249</v>
      </c>
    </row>
    <row r="17" spans="2:12" ht="15">
      <c r="B17" s="9" t="s">
        <v>76</v>
      </c>
      <c r="I17" s="51">
        <v>41</v>
      </c>
      <c r="J17" s="206">
        <v>2190528</v>
      </c>
      <c r="K17" s="231"/>
      <c r="L17" s="231">
        <v>1743991</v>
      </c>
    </row>
    <row r="18" spans="2:12" ht="15">
      <c r="B18" s="9" t="s">
        <v>817</v>
      </c>
      <c r="C18" s="47"/>
      <c r="J18" s="9"/>
      <c r="K18" s="9"/>
      <c r="L18" s="9"/>
    </row>
    <row r="19" spans="2:12" ht="15">
      <c r="B19" s="153" t="s">
        <v>97</v>
      </c>
      <c r="C19" s="9" t="s">
        <v>555</v>
      </c>
      <c r="I19" s="51"/>
      <c r="J19" s="210">
        <v>0</v>
      </c>
      <c r="K19" s="231"/>
      <c r="L19" s="280">
        <v>4687861</v>
      </c>
    </row>
    <row r="20" spans="2:12" ht="15">
      <c r="B20" s="153" t="s">
        <v>97</v>
      </c>
      <c r="C20" s="9" t="s">
        <v>861</v>
      </c>
      <c r="I20" s="51"/>
      <c r="J20" s="211">
        <v>0</v>
      </c>
      <c r="K20" s="231"/>
      <c r="L20" s="301">
        <v>395129</v>
      </c>
    </row>
    <row r="21" spans="2:12" ht="15">
      <c r="B21" s="153" t="s">
        <v>97</v>
      </c>
      <c r="C21" s="9" t="s">
        <v>556</v>
      </c>
      <c r="I21" s="51"/>
      <c r="J21" s="212">
        <v>547691.2438099999</v>
      </c>
      <c r="K21" s="231"/>
      <c r="L21" s="281">
        <v>1551419</v>
      </c>
    </row>
    <row r="22" spans="3:12" ht="15">
      <c r="C22" s="47"/>
      <c r="I22" s="51"/>
      <c r="J22" s="232">
        <f>SUM(J19:J21)</f>
        <v>547691.2438099999</v>
      </c>
      <c r="K22" s="231"/>
      <c r="L22" s="233">
        <f>SUM(L19:L21)</f>
        <v>6634409</v>
      </c>
    </row>
    <row r="23" spans="2:12" ht="15">
      <c r="B23" s="10"/>
      <c r="I23" s="20"/>
      <c r="J23" s="209">
        <f>J13-J16-J17-J22+1</f>
        <v>68314483.81856002</v>
      </c>
      <c r="K23" s="231"/>
      <c r="L23" s="231">
        <v>32960106</v>
      </c>
    </row>
    <row r="24" spans="2:12" ht="15">
      <c r="B24" s="10"/>
      <c r="I24" s="20"/>
      <c r="J24" s="209"/>
      <c r="K24" s="231"/>
      <c r="L24" s="231"/>
    </row>
    <row r="25" spans="2:12" ht="15">
      <c r="B25" s="9" t="s">
        <v>687</v>
      </c>
      <c r="H25" s="46"/>
      <c r="I25" s="51">
        <v>42</v>
      </c>
      <c r="J25" s="232">
        <f>'NOTE 40 - 41.1 '!J33</f>
        <v>6956812.771059999</v>
      </c>
      <c r="K25" s="231"/>
      <c r="L25" s="233">
        <v>5779637</v>
      </c>
    </row>
    <row r="26" spans="2:12" ht="15">
      <c r="B26" s="10" t="s">
        <v>256</v>
      </c>
      <c r="I26" s="51"/>
      <c r="J26" s="209">
        <f>J23-J25</f>
        <v>61357671.04750002</v>
      </c>
      <c r="K26" s="231"/>
      <c r="L26" s="231">
        <f>L23-L25</f>
        <v>27180469</v>
      </c>
    </row>
    <row r="27" spans="2:12" ht="6.75" customHeight="1">
      <c r="B27" s="10"/>
      <c r="I27" s="51"/>
      <c r="J27" s="209"/>
      <c r="K27" s="231"/>
      <c r="L27" s="231"/>
    </row>
    <row r="28" spans="2:12" ht="15">
      <c r="B28" s="9" t="s">
        <v>631</v>
      </c>
      <c r="I28" s="51">
        <v>43</v>
      </c>
      <c r="J28" s="209">
        <f>'NOTE 42.3 - 44'!J32</f>
        <v>7288863.629349999</v>
      </c>
      <c r="K28" s="231"/>
      <c r="L28" s="231">
        <f>'NOTE 42.3 - 44'!L32</f>
        <v>4203976</v>
      </c>
    </row>
    <row r="29" spans="9:12" ht="9.75" customHeight="1">
      <c r="I29" s="51"/>
      <c r="J29" s="209"/>
      <c r="K29" s="231"/>
      <c r="L29" s="231"/>
    </row>
    <row r="30" spans="9:12" ht="9.75" customHeight="1">
      <c r="I30" s="51"/>
      <c r="J30" s="232"/>
      <c r="K30" s="231"/>
      <c r="L30" s="233"/>
    </row>
    <row r="31" spans="9:12" ht="15">
      <c r="I31" s="51"/>
      <c r="J31" s="209">
        <f>SUM(J26:J29)</f>
        <v>68646534.67685002</v>
      </c>
      <c r="K31" s="231"/>
      <c r="L31" s="231">
        <f>SUM(L26:L29)</f>
        <v>31384445</v>
      </c>
    </row>
    <row r="32" spans="2:12" ht="15">
      <c r="B32" s="9" t="s">
        <v>688</v>
      </c>
      <c r="I32" s="51">
        <v>44</v>
      </c>
      <c r="J32" s="232">
        <f>'NOTE 42.3 - 44'!J42</f>
        <v>462747.06875</v>
      </c>
      <c r="K32" s="231"/>
      <c r="L32" s="233">
        <f>'NOTE 42.3 - 44'!L42</f>
        <v>335209</v>
      </c>
    </row>
    <row r="33" spans="2:12" ht="15.75" thickBot="1">
      <c r="B33" s="10" t="s">
        <v>255</v>
      </c>
      <c r="I33" s="51"/>
      <c r="J33" s="213">
        <f>J31-J32</f>
        <v>68183787.60810003</v>
      </c>
      <c r="K33" s="231"/>
      <c r="L33" s="236">
        <f>L31-L32</f>
        <v>31049236</v>
      </c>
    </row>
    <row r="34" spans="2:12" ht="6.75" customHeight="1" thickTop="1">
      <c r="B34" s="10"/>
      <c r="I34" s="51"/>
      <c r="J34" s="209"/>
      <c r="K34" s="231"/>
      <c r="L34" s="231"/>
    </row>
    <row r="35" spans="10:12" ht="15">
      <c r="J35" s="107"/>
      <c r="K35" s="237"/>
      <c r="L35" s="237"/>
    </row>
    <row r="36" spans="2:12" ht="15" customHeight="1">
      <c r="B36" s="397" t="str">
        <f>'BS-BAN'!A54</f>
        <v>The annexed notes 1 to 52 form an integral part of these financial statements.</v>
      </c>
      <c r="C36" s="397"/>
      <c r="D36" s="397"/>
      <c r="E36" s="397"/>
      <c r="F36" s="397"/>
      <c r="G36" s="397"/>
      <c r="H36" s="397"/>
      <c r="I36" s="397"/>
      <c r="J36" s="398"/>
      <c r="K36" s="396"/>
      <c r="L36" s="396"/>
    </row>
    <row r="37" spans="10:12" ht="15">
      <c r="J37" s="238"/>
      <c r="K37" s="237"/>
      <c r="L37" s="237"/>
    </row>
    <row r="38" spans="4:12" ht="15">
      <c r="D38" s="203" t="s">
        <v>758</v>
      </c>
      <c r="E38" s="23"/>
      <c r="F38" s="23"/>
      <c r="G38" s="203" t="s">
        <v>29</v>
      </c>
      <c r="H38" s="203"/>
      <c r="J38" s="43" t="s">
        <v>618</v>
      </c>
      <c r="K38" s="43"/>
      <c r="L38" s="237"/>
    </row>
    <row r="39" spans="4:11" ht="15">
      <c r="D39" s="23" t="str">
        <f>'BS-BAN'!C56</f>
        <v>Shamshad Akhter</v>
      </c>
      <c r="E39" s="23"/>
      <c r="F39" s="23"/>
      <c r="G39" s="23" t="s">
        <v>226</v>
      </c>
      <c r="H39" s="23"/>
      <c r="J39" s="226" t="s">
        <v>160</v>
      </c>
      <c r="K39" s="226"/>
    </row>
    <row r="40" spans="4:11" ht="15">
      <c r="D40" s="23" t="s">
        <v>617</v>
      </c>
      <c r="E40" s="23"/>
      <c r="F40" s="23"/>
      <c r="G40" s="23" t="s">
        <v>159</v>
      </c>
      <c r="H40" s="23"/>
      <c r="J40" s="40" t="s">
        <v>161</v>
      </c>
      <c r="K40" s="40"/>
    </row>
  </sheetData>
  <mergeCells count="1">
    <mergeCell ref="J5:L5"/>
  </mergeCells>
  <printOptions/>
  <pageMargins left="0.75" right="0.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view="pageBreakPreview" zoomScaleSheetLayoutView="100" workbookViewId="0" topLeftCell="A1">
      <selection activeCell="E58" sqref="E58"/>
    </sheetView>
  </sheetViews>
  <sheetFormatPr defaultColWidth="9.140625" defaultRowHeight="12.75"/>
  <cols>
    <col min="1" max="1" width="3.140625" style="2" customWidth="1"/>
    <col min="2" max="2" width="10.421875" style="2" customWidth="1"/>
    <col min="3" max="5" width="9.8515625" style="2" customWidth="1"/>
    <col min="6" max="6" width="6.421875" style="2" customWidth="1"/>
    <col min="7" max="7" width="5.8515625" style="2" customWidth="1"/>
    <col min="8" max="8" width="4.8515625" style="2" customWidth="1"/>
    <col min="9" max="9" width="10.7109375" style="2" customWidth="1"/>
    <col min="10" max="10" width="15.00390625" style="54" customWidth="1"/>
    <col min="11" max="11" width="1.7109375" style="2" customWidth="1"/>
    <col min="12" max="12" width="14.00390625" style="55" customWidth="1"/>
    <col min="13" max="13" width="0.5625" style="3" customWidth="1"/>
    <col min="14" max="14" width="7.8515625" style="2" customWidth="1"/>
    <col min="15" max="15" width="15.421875" style="2" hidden="1" customWidth="1"/>
    <col min="16" max="17" width="7.8515625" style="2" hidden="1" customWidth="1"/>
    <col min="18" max="16384" width="7.8515625" style="2" customWidth="1"/>
  </cols>
  <sheetData>
    <row r="1" spans="1:9" ht="20.25">
      <c r="A1" s="35" t="s">
        <v>206</v>
      </c>
      <c r="I1" s="10"/>
    </row>
    <row r="2" ht="18.75">
      <c r="A2" s="66" t="s">
        <v>207</v>
      </c>
    </row>
    <row r="3" ht="15">
      <c r="A3" s="57" t="s">
        <v>651</v>
      </c>
    </row>
    <row r="4" spans="9:12" ht="15">
      <c r="I4" s="68" t="s">
        <v>103</v>
      </c>
      <c r="J4" s="38" t="s">
        <v>281</v>
      </c>
      <c r="K4" s="69"/>
      <c r="L4" s="88" t="s">
        <v>403</v>
      </c>
    </row>
    <row r="5" spans="9:12" ht="15">
      <c r="I5" s="70"/>
      <c r="J5" s="568" t="s">
        <v>320</v>
      </c>
      <c r="K5" s="568"/>
      <c r="L5" s="568"/>
    </row>
    <row r="6" spans="1:12" ht="15">
      <c r="A6" s="67" t="s">
        <v>164</v>
      </c>
      <c r="I6" s="71">
        <v>45</v>
      </c>
      <c r="J6" s="207">
        <f>'NOTE 44 - 45'!D18</f>
        <v>70515838.81165002</v>
      </c>
      <c r="K6" s="181"/>
      <c r="L6" s="180">
        <f>'NOTE 44 - 45'!F18</f>
        <v>41289935</v>
      </c>
    </row>
    <row r="7" spans="9:12" ht="9" customHeight="1">
      <c r="I7" s="70"/>
      <c r="J7" s="207"/>
      <c r="K7" s="181"/>
      <c r="L7" s="207"/>
    </row>
    <row r="8" spans="1:12" ht="15">
      <c r="A8" s="2" t="s">
        <v>236</v>
      </c>
      <c r="I8" s="70"/>
      <c r="J8" s="207"/>
      <c r="K8" s="182"/>
      <c r="L8" s="180"/>
    </row>
    <row r="9" spans="9:12" ht="9" customHeight="1">
      <c r="I9" s="70"/>
      <c r="J9" s="207"/>
      <c r="K9" s="182"/>
      <c r="L9" s="180"/>
    </row>
    <row r="10" spans="1:12" ht="15">
      <c r="A10" s="2" t="s">
        <v>398</v>
      </c>
      <c r="I10" s="70"/>
      <c r="J10" s="234">
        <v>-248459</v>
      </c>
      <c r="K10" s="551"/>
      <c r="L10" s="235">
        <v>-138799</v>
      </c>
    </row>
    <row r="11" spans="1:12" ht="15">
      <c r="A11" s="2" t="s">
        <v>370</v>
      </c>
      <c r="I11" s="70"/>
      <c r="J11" s="234">
        <v>-211</v>
      </c>
      <c r="K11" s="551"/>
      <c r="L11" s="235">
        <v>-253</v>
      </c>
    </row>
    <row r="12" spans="1:12" ht="15">
      <c r="A12" s="2" t="s">
        <v>515</v>
      </c>
      <c r="I12" s="70"/>
      <c r="J12" s="234">
        <v>9115545</v>
      </c>
      <c r="K12" s="551"/>
      <c r="L12" s="235">
        <v>-9115545</v>
      </c>
    </row>
    <row r="13" spans="1:12" ht="15">
      <c r="A13" s="2" t="s">
        <v>98</v>
      </c>
      <c r="I13" s="70"/>
      <c r="J13" s="234">
        <v>-182770037</v>
      </c>
      <c r="K13" s="551"/>
      <c r="L13" s="235">
        <v>-155428609</v>
      </c>
    </row>
    <row r="14" spans="1:12" ht="15">
      <c r="A14" s="2" t="s">
        <v>30</v>
      </c>
      <c r="I14" s="70"/>
      <c r="J14" s="234">
        <v>58995</v>
      </c>
      <c r="K14" s="551"/>
      <c r="L14" s="235">
        <v>18590</v>
      </c>
    </row>
    <row r="15" spans="1:12" ht="15">
      <c r="A15" s="2" t="s">
        <v>106</v>
      </c>
      <c r="I15" s="70"/>
      <c r="J15" s="234">
        <v>-9111924.7898</v>
      </c>
      <c r="K15" s="551"/>
      <c r="L15" s="235">
        <v>-28106793</v>
      </c>
    </row>
    <row r="16" spans="1:12" ht="15">
      <c r="A16" s="2" t="s">
        <v>504</v>
      </c>
      <c r="I16" s="70"/>
      <c r="J16" s="234">
        <v>30413</v>
      </c>
      <c r="K16" s="551"/>
      <c r="L16" s="235">
        <v>-49188</v>
      </c>
    </row>
    <row r="17" spans="1:12" ht="15">
      <c r="A17" s="2" t="s">
        <v>109</v>
      </c>
      <c r="I17" s="70"/>
      <c r="J17" s="234">
        <v>-2242</v>
      </c>
      <c r="K17" s="551"/>
      <c r="L17" s="235">
        <v>-9129</v>
      </c>
    </row>
    <row r="18" spans="1:12" ht="15">
      <c r="A18" s="2" t="s">
        <v>134</v>
      </c>
      <c r="I18" s="70"/>
      <c r="J18" s="286">
        <f>-14730693.49731+10000000</f>
        <v>-4730693.49731</v>
      </c>
      <c r="K18" s="551"/>
      <c r="L18" s="290">
        <v>-4043773</v>
      </c>
    </row>
    <row r="19" spans="9:12" ht="15">
      <c r="I19" s="70"/>
      <c r="J19" s="207">
        <f>SUM(J10:J18)</f>
        <v>-187658614.28711</v>
      </c>
      <c r="K19" s="182"/>
      <c r="L19" s="180">
        <f>SUM(L10:L18)</f>
        <v>-196873499</v>
      </c>
    </row>
    <row r="20" spans="9:12" ht="9" customHeight="1">
      <c r="I20" s="70"/>
      <c r="J20" s="207"/>
      <c r="K20" s="182"/>
      <c r="L20" s="180"/>
    </row>
    <row r="21" spans="1:12" ht="15">
      <c r="A21" s="2" t="s">
        <v>237</v>
      </c>
      <c r="I21" s="70"/>
      <c r="J21" s="207"/>
      <c r="K21" s="182"/>
      <c r="L21" s="180"/>
    </row>
    <row r="22" spans="9:12" ht="9" customHeight="1">
      <c r="I22" s="70"/>
      <c r="J22" s="207"/>
      <c r="K22" s="182"/>
      <c r="L22" s="180"/>
    </row>
    <row r="23" spans="1:12" ht="15">
      <c r="A23" s="2" t="s">
        <v>314</v>
      </c>
      <c r="I23" s="70"/>
      <c r="J23" s="283">
        <v>78509578</v>
      </c>
      <c r="K23" s="182"/>
      <c r="L23" s="287">
        <v>93962051</v>
      </c>
    </row>
    <row r="24" spans="1:12" ht="15">
      <c r="A24" s="2" t="s">
        <v>136</v>
      </c>
      <c r="I24" s="70"/>
      <c r="J24" s="284">
        <v>-626953</v>
      </c>
      <c r="K24" s="182"/>
      <c r="L24" s="288">
        <v>605318</v>
      </c>
    </row>
    <row r="25" spans="1:15" ht="15">
      <c r="A25" s="2" t="s">
        <v>200</v>
      </c>
      <c r="I25" s="70"/>
      <c r="J25" s="284">
        <f>35389165-10000000</f>
        <v>25389165</v>
      </c>
      <c r="K25" s="182"/>
      <c r="L25" s="288">
        <v>59447806</v>
      </c>
      <c r="O25" s="79"/>
    </row>
    <row r="26" spans="1:12" ht="15">
      <c r="A26" s="2" t="s">
        <v>142</v>
      </c>
      <c r="I26" s="70"/>
      <c r="J26" s="284">
        <v>59282390</v>
      </c>
      <c r="K26" s="182"/>
      <c r="L26" s="288">
        <v>-68109552</v>
      </c>
    </row>
    <row r="27" spans="1:12" ht="15">
      <c r="A27" s="2" t="s">
        <v>750</v>
      </c>
      <c r="I27" s="70"/>
      <c r="J27" s="284">
        <v>11261988</v>
      </c>
      <c r="K27" s="182"/>
      <c r="L27" s="288">
        <v>40141464</v>
      </c>
    </row>
    <row r="28" spans="1:12" ht="15">
      <c r="A28" s="2" t="s">
        <v>80</v>
      </c>
      <c r="I28" s="70"/>
      <c r="J28" s="284">
        <f>18019155.90129-4507185</f>
        <v>13511970.90129</v>
      </c>
      <c r="K28" s="182"/>
      <c r="L28" s="288">
        <f>3593282+4507185</f>
        <v>8100467</v>
      </c>
    </row>
    <row r="29" spans="1:12" ht="15">
      <c r="A29" s="2" t="s">
        <v>751</v>
      </c>
      <c r="I29" s="70"/>
      <c r="J29" s="284">
        <v>-6787741</v>
      </c>
      <c r="K29" s="182"/>
      <c r="L29" s="288">
        <v>-5751253</v>
      </c>
    </row>
    <row r="30" spans="1:15" ht="15">
      <c r="A30" s="2" t="s">
        <v>144</v>
      </c>
      <c r="I30" s="70"/>
      <c r="J30" s="285">
        <f>-3482602.15131+2363914-2363914</f>
        <v>-3482602.15131</v>
      </c>
      <c r="K30" s="182"/>
      <c r="L30" s="289">
        <v>17658252</v>
      </c>
      <c r="O30" s="79"/>
    </row>
    <row r="31" spans="9:15" ht="15">
      <c r="I31" s="77"/>
      <c r="J31" s="207">
        <f>SUM(J23:J30)</f>
        <v>177057795.74998</v>
      </c>
      <c r="K31" s="182"/>
      <c r="L31" s="180">
        <f>SUM(L23:L30)</f>
        <v>146054553</v>
      </c>
      <c r="O31" s="79"/>
    </row>
    <row r="32" spans="9:12" ht="9" customHeight="1">
      <c r="I32" s="70"/>
      <c r="J32" s="286"/>
      <c r="K32" s="182"/>
      <c r="L32" s="290"/>
    </row>
    <row r="33" spans="1:12" ht="15">
      <c r="A33" s="179"/>
      <c r="B33" s="179"/>
      <c r="C33" s="179"/>
      <c r="D33" s="179"/>
      <c r="E33" s="179"/>
      <c r="F33" s="179"/>
      <c r="G33" s="179"/>
      <c r="H33" s="179"/>
      <c r="I33" s="70"/>
      <c r="J33" s="207">
        <f>+J31+J19+J6+1</f>
        <v>59915021.274520025</v>
      </c>
      <c r="K33" s="182"/>
      <c r="L33" s="180">
        <f>+L31+L19+L6</f>
        <v>-9529011</v>
      </c>
    </row>
    <row r="34" spans="9:12" ht="9" customHeight="1">
      <c r="I34" s="70"/>
      <c r="J34" s="207"/>
      <c r="K34" s="182"/>
      <c r="L34" s="180"/>
    </row>
    <row r="35" spans="1:12" ht="15">
      <c r="A35" s="179" t="s">
        <v>402</v>
      </c>
      <c r="I35" s="70"/>
      <c r="J35" s="283">
        <v>-989238</v>
      </c>
      <c r="K35" s="182"/>
      <c r="L35" s="287">
        <v>-479566</v>
      </c>
    </row>
    <row r="36" spans="1:12" ht="15">
      <c r="A36" s="179" t="s">
        <v>689</v>
      </c>
      <c r="C36" s="76"/>
      <c r="D36" s="76"/>
      <c r="E36" s="76"/>
      <c r="F36" s="76"/>
      <c r="G36" s="76"/>
      <c r="H36" s="76"/>
      <c r="I36" s="70"/>
      <c r="J36" s="284">
        <v>1974628</v>
      </c>
      <c r="K36" s="182"/>
      <c r="L36" s="288">
        <v>1502639</v>
      </c>
    </row>
    <row r="37" spans="1:12" ht="15">
      <c r="A37" s="179" t="s">
        <v>366</v>
      </c>
      <c r="C37" s="76"/>
      <c r="D37" s="76"/>
      <c r="E37" s="76"/>
      <c r="F37" s="76"/>
      <c r="G37" s="76"/>
      <c r="H37" s="76"/>
      <c r="I37" s="70"/>
      <c r="J37" s="284">
        <v>-51195</v>
      </c>
      <c r="K37" s="182"/>
      <c r="L37" s="288">
        <v>0</v>
      </c>
    </row>
    <row r="38" spans="1:12" ht="15">
      <c r="A38" s="179" t="s">
        <v>943</v>
      </c>
      <c r="I38" s="70"/>
      <c r="J38" s="284">
        <v>-362107</v>
      </c>
      <c r="K38" s="182"/>
      <c r="L38" s="288">
        <v>-352766</v>
      </c>
    </row>
    <row r="39" spans="1:12" ht="15">
      <c r="A39" s="179" t="s">
        <v>423</v>
      </c>
      <c r="I39" s="70"/>
      <c r="J39" s="284">
        <v>77567</v>
      </c>
      <c r="K39" s="182"/>
      <c r="L39" s="288">
        <v>976789</v>
      </c>
    </row>
    <row r="40" spans="1:13" ht="15">
      <c r="A40" s="2" t="s">
        <v>202</v>
      </c>
      <c r="I40" s="77"/>
      <c r="J40" s="285">
        <v>59430</v>
      </c>
      <c r="K40" s="182"/>
      <c r="L40" s="289">
        <v>0</v>
      </c>
      <c r="M40" s="3">
        <f>J38+J40+'NOTE 44 - 45'!F6</f>
        <v>94636</v>
      </c>
    </row>
    <row r="41" spans="1:12" ht="15">
      <c r="A41" s="179"/>
      <c r="I41" s="70"/>
      <c r="J41" s="207">
        <f>SUM(J35:J40)</f>
        <v>709085</v>
      </c>
      <c r="K41" s="182"/>
      <c r="L41" s="180">
        <f>SUM(L35:L40)</f>
        <v>1647096</v>
      </c>
    </row>
    <row r="42" spans="1:12" ht="9" customHeight="1">
      <c r="A42" s="179"/>
      <c r="I42" s="70"/>
      <c r="J42" s="207"/>
      <c r="K42" s="182"/>
      <c r="L42" s="180"/>
    </row>
    <row r="43" spans="1:12" ht="15">
      <c r="A43" s="179" t="s">
        <v>424</v>
      </c>
      <c r="I43" s="70"/>
      <c r="J43" s="207">
        <v>-10000</v>
      </c>
      <c r="K43" s="182"/>
      <c r="L43" s="180">
        <v>-10000</v>
      </c>
    </row>
    <row r="44" spans="9:12" ht="9" customHeight="1">
      <c r="I44" s="70"/>
      <c r="J44" s="286"/>
      <c r="K44" s="182"/>
      <c r="L44" s="290"/>
    </row>
    <row r="45" spans="1:12" ht="15">
      <c r="A45" s="2" t="s">
        <v>425</v>
      </c>
      <c r="I45" s="70"/>
      <c r="J45" s="207">
        <f>+J43+J41+J33</f>
        <v>60614106.274520025</v>
      </c>
      <c r="K45" s="182"/>
      <c r="L45" s="180">
        <f>+L43+L41+L33</f>
        <v>-7891915</v>
      </c>
    </row>
    <row r="46" spans="9:12" ht="9" customHeight="1">
      <c r="I46" s="70"/>
      <c r="J46" s="207"/>
      <c r="K46" s="182"/>
      <c r="L46" s="180"/>
    </row>
    <row r="47" spans="1:12" ht="15">
      <c r="A47" s="2" t="s">
        <v>791</v>
      </c>
      <c r="I47" s="70"/>
      <c r="J47" s="207">
        <f>L49</f>
        <v>642406963</v>
      </c>
      <c r="K47" s="182"/>
      <c r="L47" s="180">
        <v>650298878</v>
      </c>
    </row>
    <row r="48" spans="9:12" ht="9" customHeight="1">
      <c r="I48" s="70"/>
      <c r="J48" s="207"/>
      <c r="K48" s="182"/>
      <c r="L48" s="180"/>
    </row>
    <row r="49" spans="1:12" ht="15.75" thickBot="1">
      <c r="A49" s="2" t="s">
        <v>792</v>
      </c>
      <c r="I49" s="71">
        <v>46</v>
      </c>
      <c r="J49" s="208">
        <f>SUM(J45:J47)</f>
        <v>703021069.27452</v>
      </c>
      <c r="K49" s="182"/>
      <c r="L49" s="215">
        <f>+L47+L45</f>
        <v>642406963</v>
      </c>
    </row>
    <row r="50" spans="9:15" ht="6.75" customHeight="1" thickTop="1">
      <c r="I50" s="71"/>
      <c r="J50" s="234"/>
      <c r="K50" s="182"/>
      <c r="L50" s="235"/>
      <c r="O50" s="2">
        <v>703021069</v>
      </c>
    </row>
    <row r="51" spans="1:10" ht="15">
      <c r="A51" s="397" t="str">
        <f>'BS-ISS'!A36</f>
        <v>The annexed notes 1 to 52 form an integral part of these financial statements.</v>
      </c>
      <c r="H51" s="64"/>
      <c r="I51" s="80"/>
      <c r="J51" s="220"/>
    </row>
    <row r="52" spans="8:15" ht="15">
      <c r="H52" s="64"/>
      <c r="I52" s="80"/>
      <c r="J52" s="220"/>
      <c r="O52" s="55">
        <f>O50-J49</f>
        <v>-0.27452003955841064</v>
      </c>
    </row>
    <row r="53" spans="2:11" ht="15">
      <c r="B53" s="64"/>
      <c r="C53" s="203" t="s">
        <v>758</v>
      </c>
      <c r="D53" s="200"/>
      <c r="E53" s="200"/>
      <c r="F53" s="203" t="s">
        <v>29</v>
      </c>
      <c r="I53" s="85"/>
      <c r="J53" s="43" t="s">
        <v>618</v>
      </c>
      <c r="K53" s="32"/>
    </row>
    <row r="54" spans="2:12" ht="15">
      <c r="B54" s="23"/>
      <c r="C54" s="23" t="str">
        <f>'P AND L '!D39</f>
        <v>Shamshad Akhter</v>
      </c>
      <c r="D54" s="196"/>
      <c r="E54" s="196"/>
      <c r="F54" s="23" t="s">
        <v>226</v>
      </c>
      <c r="J54" s="226" t="s">
        <v>160</v>
      </c>
      <c r="K54" s="69"/>
      <c r="L54" s="221"/>
    </row>
    <row r="55" spans="2:12" ht="15">
      <c r="B55" s="23"/>
      <c r="C55" s="23" t="s">
        <v>617</v>
      </c>
      <c r="D55" s="196"/>
      <c r="E55" s="196"/>
      <c r="F55" s="23" t="s">
        <v>159</v>
      </c>
      <c r="J55" s="40" t="s">
        <v>161</v>
      </c>
      <c r="K55" s="23"/>
      <c r="L55" s="221"/>
    </row>
    <row r="56" spans="10:13" ht="29.25" customHeight="1">
      <c r="J56" s="221"/>
      <c r="M56" s="2"/>
    </row>
    <row r="57" spans="10:13" ht="25.5" customHeight="1">
      <c r="J57" s="221"/>
      <c r="M57" s="2"/>
    </row>
    <row r="58" spans="10:13" ht="15">
      <c r="J58" s="221"/>
      <c r="M58" s="2"/>
    </row>
    <row r="59" spans="2:19" s="67" customFormat="1" ht="15">
      <c r="B59" s="2"/>
      <c r="C59" s="2"/>
      <c r="D59" s="2"/>
      <c r="E59" s="2"/>
      <c r="F59" s="2"/>
      <c r="G59" s="2"/>
      <c r="H59" s="2"/>
      <c r="I59" s="2"/>
      <c r="J59" s="221"/>
      <c r="K59" s="2"/>
      <c r="L59" s="55"/>
      <c r="M59" s="2"/>
      <c r="N59" s="2"/>
      <c r="O59" s="2"/>
      <c r="P59" s="2"/>
      <c r="Q59" s="2"/>
      <c r="R59" s="2"/>
      <c r="S59" s="2"/>
    </row>
    <row r="60" spans="10:13" ht="15">
      <c r="J60" s="221"/>
      <c r="M60" s="2"/>
    </row>
    <row r="61" spans="10:13" ht="15">
      <c r="J61" s="221"/>
      <c r="M61" s="2"/>
    </row>
    <row r="62" spans="10:13" ht="15">
      <c r="J62" s="221"/>
      <c r="M62" s="2"/>
    </row>
  </sheetData>
  <mergeCells count="1">
    <mergeCell ref="J5:L5"/>
  </mergeCells>
  <printOptions/>
  <pageMargins left="0.75" right="0.5" top="0.75" bottom="0.5" header="0.5" footer="0.5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D60"/>
  <sheetViews>
    <sheetView view="pageBreakPreview" zoomScaleSheetLayoutView="100" workbookViewId="0" topLeftCell="A22">
      <selection activeCell="AB5" sqref="AB5"/>
    </sheetView>
  </sheetViews>
  <sheetFormatPr defaultColWidth="9.140625" defaultRowHeight="12.75"/>
  <cols>
    <col min="1" max="1" width="48.7109375" style="2" customWidth="1"/>
    <col min="2" max="2" width="8.7109375" style="2" customWidth="1"/>
    <col min="3" max="3" width="0.85546875" style="2" customWidth="1"/>
    <col min="4" max="4" width="11.28125" style="2" customWidth="1"/>
    <col min="5" max="5" width="0.85546875" style="2" customWidth="1"/>
    <col min="6" max="6" width="11.28125" style="2" customWidth="1"/>
    <col min="7" max="7" width="0.85546875" style="2" customWidth="1"/>
    <col min="8" max="8" width="10.57421875" style="2" customWidth="1"/>
    <col min="9" max="9" width="0.85546875" style="2" customWidth="1"/>
    <col min="10" max="10" width="11.00390625" style="2" customWidth="1"/>
    <col min="11" max="11" width="0.85546875" style="2" customWidth="1"/>
    <col min="12" max="12" width="10.28125" style="2" customWidth="1"/>
    <col min="13" max="13" width="0.85546875" style="2" customWidth="1"/>
    <col min="14" max="14" width="10.00390625" style="2" customWidth="1"/>
    <col min="15" max="15" width="0.85546875" style="2" customWidth="1"/>
    <col min="16" max="16" width="12.00390625" style="2" bestFit="1" customWidth="1"/>
    <col min="17" max="17" width="0.85546875" style="2" customWidth="1"/>
    <col min="18" max="18" width="13.28125" style="2" customWidth="1"/>
    <col min="19" max="19" width="0.85546875" style="2" customWidth="1"/>
    <col min="20" max="20" width="12.28125" style="2" customWidth="1"/>
    <col min="21" max="21" width="0.85546875" style="2" customWidth="1"/>
    <col min="22" max="22" width="15.57421875" style="2" customWidth="1"/>
    <col min="23" max="23" width="0.85546875" style="2" customWidth="1"/>
    <col min="24" max="24" width="12.28125" style="2" bestFit="1" customWidth="1"/>
    <col min="25" max="25" width="0.85546875" style="2" customWidth="1"/>
    <col min="26" max="26" width="9.00390625" style="2" customWidth="1"/>
    <col min="27" max="27" width="0.85546875" style="2" customWidth="1"/>
    <col min="28" max="28" width="12.421875" style="2" customWidth="1"/>
    <col min="29" max="29" width="9.140625" style="2" customWidth="1"/>
    <col min="30" max="30" width="13.421875" style="2" bestFit="1" customWidth="1"/>
    <col min="31" max="16384" width="9.140625" style="2" customWidth="1"/>
  </cols>
  <sheetData>
    <row r="1" spans="1:25" ht="15.75">
      <c r="A1" s="599" t="s">
        <v>864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54"/>
      <c r="U1" s="83"/>
      <c r="V1" s="54"/>
      <c r="W1" s="83"/>
      <c r="X1" s="83"/>
      <c r="Y1" s="6"/>
    </row>
    <row r="2" spans="1:25" ht="15.75">
      <c r="A2" s="600" t="s">
        <v>650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6"/>
    </row>
    <row r="3" spans="1:25" ht="15">
      <c r="A3" s="57" t="s">
        <v>651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6"/>
    </row>
    <row r="4" spans="1:25" ht="15">
      <c r="A4" s="57"/>
      <c r="B4" s="569" t="s">
        <v>475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6"/>
    </row>
    <row r="5" spans="1:28" ht="15">
      <c r="A5" s="57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Y5" s="6"/>
      <c r="AB5" s="264" t="s">
        <v>320</v>
      </c>
    </row>
    <row r="6" spans="1:28" ht="15" customHeight="1">
      <c r="A6" s="6"/>
      <c r="B6" s="570" t="s">
        <v>147</v>
      </c>
      <c r="C6" s="267"/>
      <c r="D6" s="571" t="s">
        <v>426</v>
      </c>
      <c r="E6" s="576" t="s">
        <v>757</v>
      </c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0" t="s">
        <v>752</v>
      </c>
      <c r="S6" s="577"/>
      <c r="T6" s="570" t="s">
        <v>3</v>
      </c>
      <c r="U6" s="266"/>
      <c r="V6" s="570" t="s">
        <v>277</v>
      </c>
      <c r="W6" s="268"/>
      <c r="X6" s="574" t="s">
        <v>379</v>
      </c>
      <c r="Y6" s="6"/>
      <c r="Z6" s="570" t="s">
        <v>931</v>
      </c>
      <c r="AB6" s="574" t="s">
        <v>474</v>
      </c>
    </row>
    <row r="7" spans="1:28" ht="54" customHeight="1">
      <c r="A7" s="6"/>
      <c r="B7" s="570"/>
      <c r="C7" s="267"/>
      <c r="D7" s="572"/>
      <c r="E7" s="270"/>
      <c r="F7" s="271" t="s">
        <v>238</v>
      </c>
      <c r="G7" s="271"/>
      <c r="H7" s="271" t="s">
        <v>239</v>
      </c>
      <c r="I7" s="271"/>
      <c r="J7" s="271" t="s">
        <v>240</v>
      </c>
      <c r="K7" s="271"/>
      <c r="L7" s="271" t="s">
        <v>241</v>
      </c>
      <c r="M7" s="271"/>
      <c r="N7" s="271" t="s">
        <v>242</v>
      </c>
      <c r="O7" s="271"/>
      <c r="P7" s="271" t="s">
        <v>243</v>
      </c>
      <c r="Q7" s="271"/>
      <c r="R7" s="573"/>
      <c r="S7" s="577"/>
      <c r="T7" s="573"/>
      <c r="U7" s="269"/>
      <c r="V7" s="573"/>
      <c r="W7" s="272"/>
      <c r="X7" s="575"/>
      <c r="Y7" s="67"/>
      <c r="Z7" s="573"/>
      <c r="AB7" s="575"/>
    </row>
    <row r="8" spans="1:25" ht="15">
      <c r="A8" s="17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262"/>
      <c r="W8" s="83"/>
      <c r="X8" s="83"/>
      <c r="Y8" s="6"/>
    </row>
    <row r="9" spans="1:28" ht="15">
      <c r="A9" s="178" t="s">
        <v>926</v>
      </c>
      <c r="B9" s="440">
        <v>100000</v>
      </c>
      <c r="C9" s="440"/>
      <c r="D9" s="440">
        <v>1525958</v>
      </c>
      <c r="E9" s="440"/>
      <c r="F9" s="440">
        <v>5414474</v>
      </c>
      <c r="G9" s="440"/>
      <c r="H9" s="440">
        <v>2600000</v>
      </c>
      <c r="I9" s="440"/>
      <c r="J9" s="440">
        <v>1600000</v>
      </c>
      <c r="K9" s="440"/>
      <c r="L9" s="440">
        <v>1500000</v>
      </c>
      <c r="M9" s="440"/>
      <c r="N9" s="440">
        <v>900000</v>
      </c>
      <c r="O9" s="440"/>
      <c r="P9" s="440">
        <v>4700000</v>
      </c>
      <c r="Q9" s="440"/>
      <c r="R9" s="440">
        <v>45205621</v>
      </c>
      <c r="S9" s="440"/>
      <c r="T9" s="440">
        <v>6637328</v>
      </c>
      <c r="U9" s="440"/>
      <c r="V9" s="440">
        <v>0</v>
      </c>
      <c r="W9" s="440"/>
      <c r="X9" s="440">
        <f>SUM(B9:V9)</f>
        <v>70183381</v>
      </c>
      <c r="Y9" s="81"/>
      <c r="Z9" s="3">
        <v>29893</v>
      </c>
      <c r="AB9" s="55">
        <f>X9+Z9</f>
        <v>70213274</v>
      </c>
    </row>
    <row r="10" spans="1:28" ht="15">
      <c r="A10" s="178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81"/>
      <c r="Z10" s="3"/>
      <c r="AB10" s="55"/>
    </row>
    <row r="11" spans="1:28" ht="15">
      <c r="A11" s="485" t="s">
        <v>250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81"/>
      <c r="Z11" s="3"/>
      <c r="AB11" s="55"/>
    </row>
    <row r="12" spans="1:25" ht="15">
      <c r="A12" s="178"/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82"/>
    </row>
    <row r="13" spans="1:28" ht="15">
      <c r="A13" s="178" t="s">
        <v>612</v>
      </c>
      <c r="B13" s="440">
        <v>0</v>
      </c>
      <c r="C13" s="440"/>
      <c r="D13" s="440">
        <v>0</v>
      </c>
      <c r="E13" s="440"/>
      <c r="F13" s="440">
        <v>0</v>
      </c>
      <c r="G13" s="440"/>
      <c r="H13" s="440">
        <v>0</v>
      </c>
      <c r="I13" s="440"/>
      <c r="J13" s="440">
        <v>0</v>
      </c>
      <c r="K13" s="440"/>
      <c r="L13" s="440">
        <v>0</v>
      </c>
      <c r="M13" s="440"/>
      <c r="N13" s="440">
        <v>0</v>
      </c>
      <c r="O13" s="440"/>
      <c r="P13" s="440">
        <v>0</v>
      </c>
      <c r="Q13" s="440"/>
      <c r="R13" s="486">
        <v>0</v>
      </c>
      <c r="S13" s="440"/>
      <c r="T13" s="486">
        <v>0</v>
      </c>
      <c r="U13" s="440"/>
      <c r="V13" s="486">
        <f>'[1]P AND L '!L33</f>
        <v>31049235.526319996</v>
      </c>
      <c r="W13" s="440"/>
      <c r="X13" s="486">
        <f>SUM(B13:V13)</f>
        <v>31049235.526319996</v>
      </c>
      <c r="Y13" s="82"/>
      <c r="Z13" s="493">
        <v>0</v>
      </c>
      <c r="AB13" s="489">
        <f>X13+Z13</f>
        <v>31049235.526319996</v>
      </c>
    </row>
    <row r="14" spans="1:28" ht="15">
      <c r="A14" s="178"/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87"/>
      <c r="S14" s="440"/>
      <c r="T14" s="487"/>
      <c r="U14" s="440"/>
      <c r="V14" s="487"/>
      <c r="W14" s="440"/>
      <c r="X14" s="487"/>
      <c r="Y14" s="82"/>
      <c r="Z14" s="490"/>
      <c r="AB14" s="490"/>
    </row>
    <row r="15" spans="1:28" ht="15">
      <c r="A15" s="178" t="s">
        <v>3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87"/>
      <c r="S15" s="440"/>
      <c r="T15" s="487"/>
      <c r="U15" s="440"/>
      <c r="V15" s="487"/>
      <c r="W15" s="440"/>
      <c r="X15" s="487"/>
      <c r="Y15" s="82"/>
      <c r="Z15" s="490"/>
      <c r="AB15" s="490"/>
    </row>
    <row r="16" spans="1:28" ht="15">
      <c r="A16" s="178" t="s">
        <v>488</v>
      </c>
      <c r="B16" s="441">
        <v>0</v>
      </c>
      <c r="C16" s="440"/>
      <c r="D16" s="440">
        <v>0</v>
      </c>
      <c r="E16" s="440"/>
      <c r="F16" s="440">
        <v>0</v>
      </c>
      <c r="G16" s="440"/>
      <c r="H16" s="440">
        <v>0</v>
      </c>
      <c r="I16" s="440"/>
      <c r="J16" s="440">
        <v>0</v>
      </c>
      <c r="K16" s="440"/>
      <c r="L16" s="440">
        <v>0</v>
      </c>
      <c r="M16" s="440"/>
      <c r="N16" s="440">
        <v>0</v>
      </c>
      <c r="O16" s="440"/>
      <c r="P16" s="440">
        <v>0</v>
      </c>
      <c r="Q16" s="440"/>
      <c r="R16" s="487">
        <v>0</v>
      </c>
      <c r="S16" s="440"/>
      <c r="T16" s="487">
        <v>-442825</v>
      </c>
      <c r="U16" s="440"/>
      <c r="V16" s="487">
        <f>-T16</f>
        <v>442825</v>
      </c>
      <c r="W16" s="440"/>
      <c r="X16" s="487">
        <f>SUM(B16:V16)</f>
        <v>0</v>
      </c>
      <c r="Y16" s="82"/>
      <c r="Z16" s="494">
        <v>0</v>
      </c>
      <c r="AB16" s="491">
        <f>X16+Z16</f>
        <v>0</v>
      </c>
    </row>
    <row r="17" spans="1:28" ht="15">
      <c r="A17" s="178"/>
      <c r="B17" s="441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87"/>
      <c r="S17" s="440"/>
      <c r="T17" s="487"/>
      <c r="U17" s="440"/>
      <c r="V17" s="487"/>
      <c r="W17" s="440"/>
      <c r="X17" s="487"/>
      <c r="Y17" s="82"/>
      <c r="Z17" s="490"/>
      <c r="AB17" s="490"/>
    </row>
    <row r="18" spans="1:28" ht="15">
      <c r="A18" s="178" t="s">
        <v>518</v>
      </c>
      <c r="B18" s="441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87"/>
      <c r="S18" s="440"/>
      <c r="T18" s="487"/>
      <c r="U18" s="440"/>
      <c r="V18" s="487"/>
      <c r="W18" s="440"/>
      <c r="X18" s="487"/>
      <c r="Y18" s="82"/>
      <c r="Z18" s="490"/>
      <c r="AB18" s="490"/>
    </row>
    <row r="19" spans="1:28" ht="15">
      <c r="A19" s="2" t="s">
        <v>519</v>
      </c>
      <c r="B19" s="441">
        <v>0</v>
      </c>
      <c r="C19" s="440"/>
      <c r="D19" s="441">
        <v>0</v>
      </c>
      <c r="E19" s="440"/>
      <c r="F19" s="441">
        <v>0</v>
      </c>
      <c r="G19" s="440"/>
      <c r="H19" s="440">
        <v>0</v>
      </c>
      <c r="I19" s="440"/>
      <c r="J19" s="440">
        <v>0</v>
      </c>
      <c r="K19" s="440"/>
      <c r="L19" s="440">
        <v>0</v>
      </c>
      <c r="M19" s="440"/>
      <c r="N19" s="440">
        <v>0</v>
      </c>
      <c r="O19" s="440"/>
      <c r="P19" s="440">
        <v>0</v>
      </c>
      <c r="Q19" s="440"/>
      <c r="R19" s="488">
        <v>6440972</v>
      </c>
      <c r="S19" s="440"/>
      <c r="T19" s="488">
        <v>0</v>
      </c>
      <c r="U19" s="440"/>
      <c r="V19" s="488">
        <v>0</v>
      </c>
      <c r="W19" s="440"/>
      <c r="X19" s="488">
        <f>SUM(B19:V19)</f>
        <v>6440972</v>
      </c>
      <c r="Y19" s="82"/>
      <c r="Z19" s="495">
        <v>0</v>
      </c>
      <c r="AB19" s="492">
        <f>X19+Z19</f>
        <v>6440972</v>
      </c>
    </row>
    <row r="20" spans="1:28" ht="15">
      <c r="A20" s="178"/>
      <c r="B20" s="441"/>
      <c r="C20" s="440"/>
      <c r="D20" s="441"/>
      <c r="E20" s="440"/>
      <c r="F20" s="441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82"/>
      <c r="Z20" s="498"/>
      <c r="AB20" s="83"/>
    </row>
    <row r="21" spans="1:28" ht="15">
      <c r="A21" s="178" t="s">
        <v>251</v>
      </c>
      <c r="B21" s="441"/>
      <c r="C21" s="440"/>
      <c r="D21" s="441"/>
      <c r="E21" s="440"/>
      <c r="F21" s="441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82"/>
      <c r="Z21" s="476"/>
      <c r="AB21" s="55"/>
    </row>
    <row r="22" spans="1:28" ht="15">
      <c r="A22" s="178" t="s">
        <v>252</v>
      </c>
      <c r="B22" s="441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>
        <f>SUM(R13:R19)</f>
        <v>6440972</v>
      </c>
      <c r="S22" s="440"/>
      <c r="T22" s="440">
        <f>SUM(T13:T19)</f>
        <v>-442825</v>
      </c>
      <c r="U22" s="440"/>
      <c r="V22" s="440">
        <f>SUM(V13:V19)</f>
        <v>31492060.526319996</v>
      </c>
      <c r="W22" s="440"/>
      <c r="X22" s="440">
        <f>SUM(X13:X19)</f>
        <v>37490207.526319996</v>
      </c>
      <c r="Y22" s="82"/>
      <c r="Z22" s="440">
        <f>SUM(Z13:Z19)</f>
        <v>0</v>
      </c>
      <c r="AB22" s="440">
        <f>SUM(AB13:AB19)</f>
        <v>37490207.526319996</v>
      </c>
    </row>
    <row r="23" spans="1:25" ht="15">
      <c r="A23" s="178"/>
      <c r="B23" s="441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82"/>
    </row>
    <row r="24" spans="1:28" ht="15">
      <c r="A24" s="178" t="s">
        <v>897</v>
      </c>
      <c r="B24" s="441">
        <v>0</v>
      </c>
      <c r="C24" s="440"/>
      <c r="D24" s="441">
        <v>0</v>
      </c>
      <c r="E24" s="440"/>
      <c r="F24" s="441">
        <v>0</v>
      </c>
      <c r="G24" s="440"/>
      <c r="H24" s="441">
        <v>0</v>
      </c>
      <c r="I24" s="440"/>
      <c r="J24" s="441">
        <v>0</v>
      </c>
      <c r="K24" s="440"/>
      <c r="L24" s="441">
        <v>0</v>
      </c>
      <c r="M24" s="440"/>
      <c r="N24" s="441">
        <v>0</v>
      </c>
      <c r="O24" s="440"/>
      <c r="P24" s="441">
        <v>0</v>
      </c>
      <c r="Q24" s="440"/>
      <c r="R24" s="441">
        <v>0</v>
      </c>
      <c r="S24" s="440"/>
      <c r="T24" s="441">
        <v>0</v>
      </c>
      <c r="U24" s="440"/>
      <c r="V24" s="440">
        <v>-10000</v>
      </c>
      <c r="W24" s="440"/>
      <c r="X24" s="440">
        <f>SUM(B24:V24)</f>
        <v>-10000</v>
      </c>
      <c r="Y24" s="82"/>
      <c r="Z24" s="476">
        <v>0</v>
      </c>
      <c r="AB24" s="55">
        <f>X24+Z24</f>
        <v>-10000</v>
      </c>
    </row>
    <row r="25" spans="1:25" ht="15">
      <c r="A25" s="178"/>
      <c r="B25" s="441"/>
      <c r="C25" s="440"/>
      <c r="D25" s="441"/>
      <c r="E25" s="440"/>
      <c r="F25" s="441"/>
      <c r="G25" s="440"/>
      <c r="H25" s="441"/>
      <c r="I25" s="440"/>
      <c r="J25" s="441"/>
      <c r="K25" s="440"/>
      <c r="L25" s="441"/>
      <c r="M25" s="440"/>
      <c r="N25" s="441"/>
      <c r="O25" s="440"/>
      <c r="P25" s="441"/>
      <c r="Q25" s="440"/>
      <c r="R25" s="441"/>
      <c r="S25" s="440"/>
      <c r="T25" s="441"/>
      <c r="U25" s="440"/>
      <c r="V25" s="440"/>
      <c r="W25" s="440"/>
      <c r="X25" s="440"/>
      <c r="Y25" s="82"/>
    </row>
    <row r="26" spans="1:28" ht="15">
      <c r="A26" s="178" t="s">
        <v>883</v>
      </c>
      <c r="B26" s="441">
        <v>0</v>
      </c>
      <c r="C26" s="440"/>
      <c r="D26" s="441">
        <v>0</v>
      </c>
      <c r="E26" s="440"/>
      <c r="F26" s="441">
        <v>0</v>
      </c>
      <c r="G26" s="440"/>
      <c r="H26" s="441">
        <v>0</v>
      </c>
      <c r="I26" s="440"/>
      <c r="J26" s="441">
        <v>0</v>
      </c>
      <c r="K26" s="440"/>
      <c r="L26" s="441">
        <v>0</v>
      </c>
      <c r="M26" s="440"/>
      <c r="N26" s="441">
        <v>0</v>
      </c>
      <c r="O26" s="440"/>
      <c r="P26" s="441">
        <v>0</v>
      </c>
      <c r="Q26" s="440"/>
      <c r="R26" s="441">
        <v>0</v>
      </c>
      <c r="S26" s="440"/>
      <c r="T26" s="441">
        <v>0</v>
      </c>
      <c r="U26" s="440"/>
      <c r="V26" s="440">
        <v>-21422061</v>
      </c>
      <c r="W26" s="440"/>
      <c r="X26" s="440">
        <f>SUM(B26:V26)</f>
        <v>-21422061</v>
      </c>
      <c r="Y26" s="82"/>
      <c r="Z26" s="476">
        <v>0</v>
      </c>
      <c r="AB26" s="55">
        <f>X26+Z26</f>
        <v>-21422061</v>
      </c>
    </row>
    <row r="27" spans="1:28" ht="15">
      <c r="A27" s="178"/>
      <c r="B27" s="442"/>
      <c r="C27" s="440"/>
      <c r="D27" s="442"/>
      <c r="E27" s="440"/>
      <c r="F27" s="442"/>
      <c r="G27" s="440"/>
      <c r="H27" s="442"/>
      <c r="I27" s="440"/>
      <c r="J27" s="442"/>
      <c r="K27" s="440"/>
      <c r="L27" s="442"/>
      <c r="M27" s="440"/>
      <c r="N27" s="442"/>
      <c r="O27" s="440"/>
      <c r="P27" s="442"/>
      <c r="Q27" s="440"/>
      <c r="R27" s="442"/>
      <c r="S27" s="440"/>
      <c r="T27" s="442"/>
      <c r="U27" s="440"/>
      <c r="V27" s="442"/>
      <c r="W27" s="440"/>
      <c r="X27" s="442"/>
      <c r="Y27" s="82"/>
      <c r="Z27" s="303"/>
      <c r="AB27" s="303"/>
    </row>
    <row r="28" spans="1:28" ht="15">
      <c r="A28" s="178" t="s">
        <v>820</v>
      </c>
      <c r="B28" s="440">
        <f>SUM(B9:B26)</f>
        <v>100000</v>
      </c>
      <c r="C28" s="440"/>
      <c r="D28" s="440">
        <f>SUM(D9:D26)</f>
        <v>1525958</v>
      </c>
      <c r="E28" s="440"/>
      <c r="F28" s="440">
        <f>SUM(F9:F26)</f>
        <v>5414474</v>
      </c>
      <c r="G28" s="440"/>
      <c r="H28" s="440">
        <f>SUM(H9:H26)</f>
        <v>2600000</v>
      </c>
      <c r="I28" s="440"/>
      <c r="J28" s="440">
        <f>SUM(J9:J26)</f>
        <v>1600000</v>
      </c>
      <c r="K28" s="440"/>
      <c r="L28" s="440">
        <f>SUM(L9:L26)</f>
        <v>1500000</v>
      </c>
      <c r="M28" s="440"/>
      <c r="N28" s="440">
        <f>SUM(N9:N26)</f>
        <v>900000</v>
      </c>
      <c r="O28" s="440"/>
      <c r="P28" s="440">
        <f>SUM(P9:P26)</f>
        <v>4700000</v>
      </c>
      <c r="Q28" s="440"/>
      <c r="R28" s="440">
        <f>R22+R9</f>
        <v>51646593</v>
      </c>
      <c r="S28" s="440"/>
      <c r="T28" s="440">
        <f>T22+T9</f>
        <v>6194503</v>
      </c>
      <c r="U28" s="440"/>
      <c r="V28" s="440">
        <f>V26+V24+V22+V9</f>
        <v>10059999.526319996</v>
      </c>
      <c r="W28" s="440"/>
      <c r="X28" s="440">
        <f>X26+X24+X22+X9</f>
        <v>86241527.52632</v>
      </c>
      <c r="Y28" s="82"/>
      <c r="Z28" s="440">
        <f>+Z26+Z24+Z22+Z9</f>
        <v>29893</v>
      </c>
      <c r="AB28" s="440">
        <f>AB26+AB24+AB22+AB9</f>
        <v>86271420.52632</v>
      </c>
    </row>
    <row r="29" spans="1:25" ht="15">
      <c r="A29" s="178"/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81"/>
    </row>
    <row r="30" spans="1:25" ht="15">
      <c r="A30" s="485" t="s">
        <v>253</v>
      </c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81"/>
    </row>
    <row r="31" spans="1:25" ht="15">
      <c r="A31" s="178"/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81"/>
    </row>
    <row r="32" spans="1:28" ht="15">
      <c r="A32" s="178" t="s">
        <v>612</v>
      </c>
      <c r="B32" s="440">
        <v>0</v>
      </c>
      <c r="C32" s="440"/>
      <c r="D32" s="440">
        <v>0</v>
      </c>
      <c r="E32" s="440"/>
      <c r="F32" s="440">
        <v>0</v>
      </c>
      <c r="G32" s="440"/>
      <c r="H32" s="440">
        <v>0</v>
      </c>
      <c r="I32" s="440"/>
      <c r="J32" s="440">
        <v>0</v>
      </c>
      <c r="K32" s="440"/>
      <c r="L32" s="440">
        <v>0</v>
      </c>
      <c r="M32" s="440"/>
      <c r="N32" s="440">
        <v>0</v>
      </c>
      <c r="O32" s="440"/>
      <c r="P32" s="440">
        <v>0</v>
      </c>
      <c r="Q32" s="440"/>
      <c r="R32" s="486">
        <v>0</v>
      </c>
      <c r="S32" s="440"/>
      <c r="T32" s="486">
        <v>0</v>
      </c>
      <c r="U32" s="440"/>
      <c r="V32" s="486">
        <f>'P AND L '!J33</f>
        <v>68183787.60810003</v>
      </c>
      <c r="W32" s="440"/>
      <c r="X32" s="486">
        <f>SUM(B32:V32)</f>
        <v>68183787.60810003</v>
      </c>
      <c r="Y32" s="82"/>
      <c r="Z32" s="493">
        <v>0</v>
      </c>
      <c r="AB32" s="489">
        <f>X32+Z32</f>
        <v>68183787.60810003</v>
      </c>
    </row>
    <row r="33" spans="1:28" ht="15">
      <c r="A33" s="178"/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87"/>
      <c r="S33" s="440"/>
      <c r="T33" s="487"/>
      <c r="U33" s="440"/>
      <c r="V33" s="487"/>
      <c r="W33" s="440"/>
      <c r="X33" s="487"/>
      <c r="Y33" s="82"/>
      <c r="Z33" s="490"/>
      <c r="AB33" s="490"/>
    </row>
    <row r="34" spans="1:28" ht="15">
      <c r="A34" s="178" t="s">
        <v>3</v>
      </c>
      <c r="B34" s="440">
        <v>0</v>
      </c>
      <c r="C34" s="440"/>
      <c r="D34" s="440">
        <v>0</v>
      </c>
      <c r="E34" s="440"/>
      <c r="F34" s="440">
        <v>0</v>
      </c>
      <c r="G34" s="440"/>
      <c r="H34" s="440">
        <v>0</v>
      </c>
      <c r="I34" s="440"/>
      <c r="J34" s="440">
        <v>0</v>
      </c>
      <c r="K34" s="440"/>
      <c r="L34" s="440">
        <v>0</v>
      </c>
      <c r="M34" s="440"/>
      <c r="N34" s="440">
        <v>0</v>
      </c>
      <c r="O34" s="440"/>
      <c r="P34" s="440">
        <v>0</v>
      </c>
      <c r="Q34" s="440"/>
      <c r="R34" s="496">
        <v>0</v>
      </c>
      <c r="S34" s="440"/>
      <c r="T34" s="497">
        <f>'NOTE 19.2 - 21'!P6</f>
        <v>12552511</v>
      </c>
      <c r="U34" s="440"/>
      <c r="V34" s="487">
        <v>0</v>
      </c>
      <c r="W34" s="440"/>
      <c r="X34" s="487">
        <f>SUM(B34:V34)</f>
        <v>12552511</v>
      </c>
      <c r="Y34" s="82"/>
      <c r="Z34" s="494">
        <v>0</v>
      </c>
      <c r="AB34" s="491">
        <f>X34+Z34</f>
        <v>12552511</v>
      </c>
    </row>
    <row r="35" spans="1:28" ht="15">
      <c r="A35" s="178"/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87"/>
      <c r="S35" s="440"/>
      <c r="T35" s="487"/>
      <c r="U35" s="440"/>
      <c r="V35" s="487"/>
      <c r="W35" s="440"/>
      <c r="X35" s="487"/>
      <c r="Y35" s="82"/>
      <c r="Z35" s="490"/>
      <c r="AB35" s="490"/>
    </row>
    <row r="36" spans="1:28" ht="15">
      <c r="A36" s="178" t="s">
        <v>520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87"/>
      <c r="S36" s="440"/>
      <c r="T36" s="487"/>
      <c r="U36" s="440"/>
      <c r="V36" s="487"/>
      <c r="W36" s="440"/>
      <c r="X36" s="487"/>
      <c r="Y36" s="82"/>
      <c r="Z36" s="490"/>
      <c r="AB36" s="490"/>
    </row>
    <row r="37" spans="1:28" ht="15">
      <c r="A37" s="2" t="s">
        <v>521</v>
      </c>
      <c r="B37" s="440">
        <v>0</v>
      </c>
      <c r="C37" s="440"/>
      <c r="D37" s="440">
        <v>0</v>
      </c>
      <c r="E37" s="440"/>
      <c r="F37" s="440">
        <v>0</v>
      </c>
      <c r="G37" s="440"/>
      <c r="H37" s="440">
        <v>0</v>
      </c>
      <c r="I37" s="440"/>
      <c r="J37" s="440">
        <v>0</v>
      </c>
      <c r="K37" s="440"/>
      <c r="L37" s="440">
        <v>0</v>
      </c>
      <c r="M37" s="440"/>
      <c r="N37" s="440">
        <v>0</v>
      </c>
      <c r="O37" s="440"/>
      <c r="P37" s="440">
        <v>0</v>
      </c>
      <c r="Q37" s="440"/>
      <c r="R37" s="488">
        <f>'NOTE 27.2 - 32'!L84</f>
        <v>22760319</v>
      </c>
      <c r="S37" s="440"/>
      <c r="T37" s="488">
        <v>0</v>
      </c>
      <c r="U37" s="440"/>
      <c r="V37" s="488">
        <v>0</v>
      </c>
      <c r="W37" s="440"/>
      <c r="X37" s="488">
        <f>SUM(B37:V37)</f>
        <v>22760319</v>
      </c>
      <c r="Y37" s="82"/>
      <c r="Z37" s="495">
        <v>0</v>
      </c>
      <c r="AB37" s="492">
        <f>X37+Z37</f>
        <v>22760319</v>
      </c>
    </row>
    <row r="38" spans="1:28" ht="15">
      <c r="A38" s="178"/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82"/>
      <c r="Z38" s="498"/>
      <c r="AB38" s="83"/>
    </row>
    <row r="39" spans="1:28" ht="15">
      <c r="A39" s="178" t="s">
        <v>251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82"/>
      <c r="Z39" s="498"/>
      <c r="AB39" s="83"/>
    </row>
    <row r="40" spans="1:28" ht="15">
      <c r="A40" s="178" t="s">
        <v>252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>
        <f>SUM(R32:R37)</f>
        <v>22760319</v>
      </c>
      <c r="S40" s="440"/>
      <c r="T40" s="440">
        <f>SUM(T32:T37)</f>
        <v>12552511</v>
      </c>
      <c r="U40" s="440"/>
      <c r="V40" s="440">
        <f>SUM(V32:V37)</f>
        <v>68183787.60810003</v>
      </c>
      <c r="W40" s="440"/>
      <c r="X40" s="440">
        <f>SUM(X32:X37)</f>
        <v>103496617.60810003</v>
      </c>
      <c r="Y40" s="82"/>
      <c r="Z40" s="440">
        <f>SUM(Z32:Z37)</f>
        <v>0</v>
      </c>
      <c r="AB40" s="440">
        <f>SUM(AB32:AB37)</f>
        <v>103496617.60810003</v>
      </c>
    </row>
    <row r="41" spans="1:25" ht="15">
      <c r="A41" s="178"/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82"/>
    </row>
    <row r="42" spans="1:28" ht="15">
      <c r="A42" s="178" t="s">
        <v>897</v>
      </c>
      <c r="B42" s="440">
        <v>0</v>
      </c>
      <c r="C42" s="440"/>
      <c r="D42" s="440">
        <v>0</v>
      </c>
      <c r="E42" s="440"/>
      <c r="F42" s="440">
        <v>0</v>
      </c>
      <c r="G42" s="440"/>
      <c r="H42" s="440">
        <v>0</v>
      </c>
      <c r="I42" s="440"/>
      <c r="J42" s="440">
        <v>0</v>
      </c>
      <c r="K42" s="440"/>
      <c r="L42" s="440">
        <v>0</v>
      </c>
      <c r="M42" s="440"/>
      <c r="N42" s="440">
        <v>0</v>
      </c>
      <c r="O42" s="440"/>
      <c r="P42" s="440">
        <v>0</v>
      </c>
      <c r="Q42" s="440"/>
      <c r="R42" s="440">
        <v>0</v>
      </c>
      <c r="S42" s="440"/>
      <c r="T42" s="440">
        <v>0</v>
      </c>
      <c r="U42" s="440"/>
      <c r="V42" s="231">
        <v>-10000</v>
      </c>
      <c r="W42" s="231"/>
      <c r="X42" s="231">
        <f>SUM(B42:V42)</f>
        <v>-10000</v>
      </c>
      <c r="Y42" s="82"/>
      <c r="Z42" s="476">
        <v>0</v>
      </c>
      <c r="AB42" s="55">
        <f>X42+Z42</f>
        <v>-10000</v>
      </c>
    </row>
    <row r="43" spans="1:28" ht="15">
      <c r="A43" s="178" t="s">
        <v>660</v>
      </c>
      <c r="B43" s="440">
        <v>0</v>
      </c>
      <c r="C43" s="440"/>
      <c r="D43" s="440">
        <v>0</v>
      </c>
      <c r="E43" s="440"/>
      <c r="F43" s="440">
        <v>10000000</v>
      </c>
      <c r="G43" s="440"/>
      <c r="H43" s="440">
        <v>0</v>
      </c>
      <c r="I43" s="440"/>
      <c r="J43" s="440">
        <v>0</v>
      </c>
      <c r="K43" s="440"/>
      <c r="L43" s="440">
        <v>0</v>
      </c>
      <c r="M43" s="440"/>
      <c r="N43" s="440">
        <v>0</v>
      </c>
      <c r="O43" s="440"/>
      <c r="P43" s="440">
        <v>0</v>
      </c>
      <c r="Q43" s="440"/>
      <c r="R43" s="440">
        <f>'[1]NOTE 3 - 4.4'!L9+'[1]NOTE 12 - 15'!I25</f>
        <v>0</v>
      </c>
      <c r="S43" s="440"/>
      <c r="T43" s="440">
        <v>0</v>
      </c>
      <c r="U43" s="440"/>
      <c r="V43" s="440">
        <v>-10000000</v>
      </c>
      <c r="W43" s="440"/>
      <c r="X43" s="440">
        <f>SUM(B43:V43)</f>
        <v>0</v>
      </c>
      <c r="Y43" s="82"/>
      <c r="Z43" s="476">
        <v>0</v>
      </c>
      <c r="AB43" s="55">
        <f>X43+Z43</f>
        <v>0</v>
      </c>
    </row>
    <row r="44" spans="1:28" ht="15">
      <c r="A44" s="178"/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82"/>
      <c r="Z44" s="476"/>
      <c r="AB44" s="55"/>
    </row>
    <row r="45" spans="1:28" ht="15">
      <c r="A45" s="178" t="s">
        <v>883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>
        <v>-49091788</v>
      </c>
      <c r="W45" s="440"/>
      <c r="X45" s="231">
        <f>SUM(B45:V45)</f>
        <v>-49091788</v>
      </c>
      <c r="Y45" s="82"/>
      <c r="Z45" s="476"/>
      <c r="AB45" s="55">
        <f>X45+Z45</f>
        <v>-49091788</v>
      </c>
    </row>
    <row r="46" spans="1:25" ht="15">
      <c r="A46" s="178"/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82"/>
    </row>
    <row r="47" spans="1:28" ht="15.75" thickBot="1">
      <c r="A47" s="178" t="s">
        <v>652</v>
      </c>
      <c r="B47" s="443">
        <f>SUM(B28:B43)</f>
        <v>100000</v>
      </c>
      <c r="C47" s="440"/>
      <c r="D47" s="443">
        <f>SUM(D28:D43)</f>
        <v>1525958</v>
      </c>
      <c r="E47" s="440"/>
      <c r="F47" s="443">
        <f>SUM(F28:F43)</f>
        <v>15414474</v>
      </c>
      <c r="G47" s="440"/>
      <c r="H47" s="443">
        <f>SUM(H28:H43)</f>
        <v>2600000</v>
      </c>
      <c r="I47" s="440"/>
      <c r="J47" s="443">
        <f>SUM(J28:J43)</f>
        <v>1600000</v>
      </c>
      <c r="K47" s="440"/>
      <c r="L47" s="443">
        <f>SUM(L28:L43)</f>
        <v>1500000</v>
      </c>
      <c r="M47" s="440"/>
      <c r="N47" s="443">
        <f>SUM(N28:N43)</f>
        <v>900000</v>
      </c>
      <c r="O47" s="440"/>
      <c r="P47" s="443">
        <f>SUM(P28:P43)</f>
        <v>4700000</v>
      </c>
      <c r="Q47" s="440"/>
      <c r="R47" s="443">
        <f>R40+R28</f>
        <v>74406912</v>
      </c>
      <c r="S47" s="440"/>
      <c r="T47" s="443">
        <f>T40+T28</f>
        <v>18747014</v>
      </c>
      <c r="U47" s="261"/>
      <c r="V47" s="443">
        <f>V43+V40+V28+1+V42+V45</f>
        <v>19142000.134420022</v>
      </c>
      <c r="W47" s="273" t="s">
        <v>496</v>
      </c>
      <c r="X47" s="443">
        <f>X43+X40+X28+1+X42+X45</f>
        <v>140636358.13442004</v>
      </c>
      <c r="Y47" s="82"/>
      <c r="Z47" s="443">
        <f>Z40+Z28</f>
        <v>29893</v>
      </c>
      <c r="AA47" s="55"/>
      <c r="AB47" s="443">
        <f>AB43+AB40+AB28+1+AB42+AB45</f>
        <v>140666251.13442004</v>
      </c>
    </row>
    <row r="48" spans="1:25" ht="15.75" thickTop="1">
      <c r="A48" s="6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83"/>
      <c r="Y48" s="84"/>
    </row>
    <row r="49" spans="1:30" ht="15">
      <c r="A49" s="9" t="s">
        <v>218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83"/>
      <c r="Y49" s="84"/>
      <c r="AD49" s="55"/>
    </row>
    <row r="50" spans="1:30" ht="15">
      <c r="A50" s="9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83"/>
      <c r="Y50" s="84"/>
      <c r="AD50" s="55"/>
    </row>
    <row r="51" spans="1:25" ht="15">
      <c r="A51" s="9" t="str">
        <f>'BS-ISS'!A36</f>
        <v>The annexed notes 1 to 52 form an integral part of these financial statements.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82"/>
    </row>
    <row r="52" spans="1:25" ht="15">
      <c r="A52" s="203" t="s">
        <v>758</v>
      </c>
      <c r="B52" s="262"/>
      <c r="C52" s="262"/>
      <c r="D52" s="262"/>
      <c r="E52" s="262"/>
      <c r="F52" s="262"/>
      <c r="G52" s="262"/>
      <c r="H52" s="262"/>
      <c r="I52" s="262"/>
      <c r="J52" s="203" t="s">
        <v>29</v>
      </c>
      <c r="K52" s="262"/>
      <c r="L52" s="262"/>
      <c r="M52" s="262"/>
      <c r="N52" s="262"/>
      <c r="O52" s="262"/>
      <c r="P52" s="262"/>
      <c r="Q52" s="262"/>
      <c r="R52" s="262"/>
      <c r="S52" s="262"/>
      <c r="U52" s="262"/>
      <c r="V52" s="43" t="s">
        <v>618</v>
      </c>
      <c r="W52" s="262"/>
      <c r="X52" s="262"/>
      <c r="Y52" s="82"/>
    </row>
    <row r="53" spans="1:25" ht="15">
      <c r="A53" s="23" t="s">
        <v>653</v>
      </c>
      <c r="B53" s="83"/>
      <c r="C53" s="273"/>
      <c r="D53" s="273"/>
      <c r="E53" s="273"/>
      <c r="F53" s="273"/>
      <c r="G53" s="273"/>
      <c r="H53" s="273"/>
      <c r="I53" s="273"/>
      <c r="J53" s="23" t="s">
        <v>226</v>
      </c>
      <c r="K53" s="273"/>
      <c r="L53" s="83"/>
      <c r="M53" s="83"/>
      <c r="N53" s="83"/>
      <c r="O53" s="273"/>
      <c r="P53" s="273"/>
      <c r="Q53" s="262"/>
      <c r="R53" s="226"/>
      <c r="S53" s="83"/>
      <c r="U53" s="262"/>
      <c r="V53" s="226" t="s">
        <v>160</v>
      </c>
      <c r="W53" s="262"/>
      <c r="X53" s="262"/>
      <c r="Y53" s="82"/>
    </row>
    <row r="54" spans="1:25" ht="15">
      <c r="A54" s="23" t="s">
        <v>617</v>
      </c>
      <c r="B54" s="83"/>
      <c r="C54" s="273"/>
      <c r="D54" s="273"/>
      <c r="E54" s="273"/>
      <c r="F54" s="273"/>
      <c r="G54" s="273"/>
      <c r="H54" s="273"/>
      <c r="I54" s="273"/>
      <c r="J54" s="23" t="s">
        <v>159</v>
      </c>
      <c r="K54" s="273"/>
      <c r="L54" s="83"/>
      <c r="M54" s="83"/>
      <c r="N54" s="83"/>
      <c r="O54" s="273"/>
      <c r="P54" s="83"/>
      <c r="Q54" s="83"/>
      <c r="R54" s="265"/>
      <c r="S54" s="83"/>
      <c r="U54" s="262"/>
      <c r="V54" s="40" t="s">
        <v>161</v>
      </c>
      <c r="W54" s="262"/>
      <c r="X54" s="262"/>
      <c r="Y54" s="82"/>
    </row>
    <row r="55" spans="1:25" ht="15">
      <c r="A55" s="6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82"/>
    </row>
    <row r="56" spans="1:25" ht="15">
      <c r="A56" s="6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82"/>
    </row>
    <row r="57" spans="1:25" ht="15">
      <c r="A57" s="6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82"/>
    </row>
    <row r="58" spans="1:25" ht="15">
      <c r="A58" s="6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82"/>
    </row>
    <row r="59" spans="1:25" ht="15">
      <c r="A59" s="6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82"/>
    </row>
    <row r="60" spans="1:25" ht="17.25">
      <c r="A60" s="6"/>
      <c r="B60" s="42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82"/>
    </row>
  </sheetData>
  <mergeCells count="11">
    <mergeCell ref="Z6:Z7"/>
    <mergeCell ref="AB6:AB7"/>
    <mergeCell ref="B4:X4"/>
    <mergeCell ref="B6:B7"/>
    <mergeCell ref="D6:D7"/>
    <mergeCell ref="V6:V7"/>
    <mergeCell ref="X6:X7"/>
    <mergeCell ref="E6:Q6"/>
    <mergeCell ref="R6:R7"/>
    <mergeCell ref="S6:S7"/>
    <mergeCell ref="T6:T7"/>
  </mergeCells>
  <printOptions horizontalCentered="1" verticalCentered="1"/>
  <pageMargins left="0.5" right="0.25" top="0.5" bottom="0.25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51"/>
  <sheetViews>
    <sheetView zoomScaleSheetLayoutView="100" workbookViewId="0" topLeftCell="A1">
      <selection activeCell="J6" sqref="J6"/>
    </sheetView>
  </sheetViews>
  <sheetFormatPr defaultColWidth="9.140625" defaultRowHeight="12.75"/>
  <cols>
    <col min="1" max="1" width="4.7109375" style="9" customWidth="1"/>
    <col min="2" max="2" width="2.421875" style="9" customWidth="1"/>
    <col min="3" max="3" width="6.28125" style="9" customWidth="1"/>
    <col min="4" max="4" width="25.7109375" style="9" customWidth="1"/>
    <col min="5" max="5" width="4.28125" style="9" customWidth="1"/>
    <col min="6" max="6" width="5.00390625" style="9" customWidth="1"/>
    <col min="7" max="7" width="1.8515625" style="9" customWidth="1"/>
    <col min="8" max="8" width="9.28125" style="9" hidden="1" customWidth="1"/>
    <col min="9" max="9" width="0.71875" style="9" customWidth="1"/>
    <col min="10" max="10" width="11.7109375" style="9" customWidth="1"/>
    <col min="11" max="11" width="2.140625" style="9" customWidth="1"/>
    <col min="12" max="12" width="14.00390625" style="54" customWidth="1"/>
    <col min="13" max="13" width="1.28515625" style="37" customWidth="1"/>
    <col min="14" max="14" width="14.00390625" style="37" customWidth="1"/>
    <col min="15" max="15" width="1.7109375" style="9" customWidth="1"/>
    <col min="16" max="16" width="0.71875" style="9" customWidth="1"/>
    <col min="17" max="17" width="16.421875" style="2" customWidth="1"/>
    <col min="18" max="34" width="7.57421875" style="2" customWidth="1"/>
    <col min="35" max="16384" width="7.57421875" style="9" customWidth="1"/>
  </cols>
  <sheetData>
    <row r="1" spans="10:14" ht="15">
      <c r="J1" s="580" t="s">
        <v>376</v>
      </c>
      <c r="L1" s="38" t="s">
        <v>281</v>
      </c>
      <c r="N1" s="88" t="s">
        <v>403</v>
      </c>
    </row>
    <row r="2" spans="6:14" ht="15">
      <c r="F2" s="20"/>
      <c r="J2" s="580"/>
      <c r="L2" s="579" t="s">
        <v>320</v>
      </c>
      <c r="M2" s="579"/>
      <c r="N2" s="579"/>
    </row>
    <row r="3" spans="1:14" ht="16.5" customHeight="1">
      <c r="A3" s="105" t="s">
        <v>322</v>
      </c>
      <c r="B3" s="10" t="s">
        <v>759</v>
      </c>
      <c r="J3" s="580"/>
      <c r="L3" s="245"/>
      <c r="M3" s="245"/>
      <c r="N3" s="245"/>
    </row>
    <row r="4" spans="5:14" ht="15">
      <c r="E4" s="17"/>
      <c r="J4" s="17"/>
      <c r="K4" s="17"/>
      <c r="L4" s="40"/>
      <c r="N4" s="40"/>
    </row>
    <row r="5" spans="2:14" ht="15">
      <c r="B5" s="9" t="s">
        <v>377</v>
      </c>
      <c r="E5" s="24"/>
      <c r="J5" s="206">
        <v>2064910</v>
      </c>
      <c r="K5" s="27"/>
      <c r="L5" s="206">
        <v>53870004</v>
      </c>
      <c r="M5" s="238"/>
      <c r="N5" s="214">
        <v>47532115</v>
      </c>
    </row>
    <row r="6" spans="2:14" ht="15">
      <c r="B6" s="30" t="s">
        <v>368</v>
      </c>
      <c r="C6" s="30"/>
      <c r="D6" s="30"/>
      <c r="E6" s="24"/>
      <c r="J6" s="206">
        <v>1444</v>
      </c>
      <c r="K6" s="27"/>
      <c r="L6" s="206">
        <v>51195</v>
      </c>
      <c r="M6" s="238"/>
      <c r="N6" s="214">
        <v>0</v>
      </c>
    </row>
    <row r="7" spans="2:14" ht="15">
      <c r="B7" s="104" t="s">
        <v>316</v>
      </c>
      <c r="C7" s="111"/>
      <c r="D7" s="111"/>
      <c r="E7" s="111"/>
      <c r="F7" s="481">
        <v>33</v>
      </c>
      <c r="J7" s="206">
        <v>0</v>
      </c>
      <c r="K7" s="27"/>
      <c r="L7" s="207">
        <v>22396096</v>
      </c>
      <c r="M7" s="238"/>
      <c r="N7" s="180">
        <v>6337889</v>
      </c>
    </row>
    <row r="8" spans="5:14" ht="15.75" thickBot="1">
      <c r="E8" s="25"/>
      <c r="J8" s="213">
        <f>SUM(J5:J7)</f>
        <v>2066354</v>
      </c>
      <c r="K8" s="27"/>
      <c r="L8" s="213">
        <f>SUM(L5:L7)</f>
        <v>76317295</v>
      </c>
      <c r="M8" s="238"/>
      <c r="N8" s="236">
        <f>SUM(N5:N7)</f>
        <v>53870004</v>
      </c>
    </row>
    <row r="9" spans="10:14" ht="15.75" thickTop="1">
      <c r="J9" s="27"/>
      <c r="K9" s="27"/>
      <c r="L9" s="206"/>
      <c r="M9" s="238"/>
      <c r="N9" s="206"/>
    </row>
    <row r="10" spans="1:14" ht="15">
      <c r="A10" s="105" t="s">
        <v>232</v>
      </c>
      <c r="B10" s="10" t="s">
        <v>760</v>
      </c>
      <c r="J10" s="27"/>
      <c r="K10" s="27"/>
      <c r="L10" s="206"/>
      <c r="M10" s="238"/>
      <c r="N10" s="214"/>
    </row>
    <row r="11" spans="1:15" ht="15" customHeight="1">
      <c r="A11" s="10"/>
      <c r="B11" s="10"/>
      <c r="J11" s="27"/>
      <c r="K11" s="27"/>
      <c r="L11" s="206"/>
      <c r="M11" s="219"/>
      <c r="N11" s="214"/>
      <c r="O11" s="23"/>
    </row>
    <row r="12" spans="2:14" ht="15">
      <c r="B12" s="9" t="s">
        <v>98</v>
      </c>
      <c r="F12" s="20" t="s">
        <v>567</v>
      </c>
      <c r="J12" s="27"/>
      <c r="K12" s="27"/>
      <c r="L12" s="209">
        <v>196420546</v>
      </c>
      <c r="M12" s="238"/>
      <c r="N12" s="231">
        <v>180148679</v>
      </c>
    </row>
    <row r="13" spans="1:15" ht="15">
      <c r="A13" s="10"/>
      <c r="B13" s="9" t="s">
        <v>938</v>
      </c>
      <c r="F13" s="51" t="s">
        <v>568</v>
      </c>
      <c r="J13" s="27"/>
      <c r="K13" s="27"/>
      <c r="L13" s="206">
        <v>490545283</v>
      </c>
      <c r="M13" s="238"/>
      <c r="N13" s="231">
        <v>424007949</v>
      </c>
      <c r="O13" s="23"/>
    </row>
    <row r="14" spans="2:14" ht="15">
      <c r="B14" s="9" t="s">
        <v>937</v>
      </c>
      <c r="F14" s="51" t="s">
        <v>569</v>
      </c>
      <c r="J14" s="27"/>
      <c r="K14" s="27"/>
      <c r="L14" s="206">
        <v>2915208</v>
      </c>
      <c r="M14" s="238"/>
      <c r="N14" s="231">
        <v>12377658</v>
      </c>
    </row>
    <row r="15" spans="4:14" ht="15.75" thickBot="1">
      <c r="D15" s="28"/>
      <c r="J15" s="27"/>
      <c r="K15" s="27"/>
      <c r="L15" s="213">
        <f>SUM(L12:L14)</f>
        <v>689881037</v>
      </c>
      <c r="M15" s="238"/>
      <c r="N15" s="236">
        <f>SUM(N12:N14)</f>
        <v>616534286</v>
      </c>
    </row>
    <row r="16" spans="3:14" ht="15.75" thickTop="1">
      <c r="C16" s="10"/>
      <c r="J16" s="27"/>
      <c r="K16" s="27"/>
      <c r="L16" s="209"/>
      <c r="M16" s="238"/>
      <c r="N16" s="231"/>
    </row>
    <row r="17" spans="2:14" ht="15">
      <c r="B17" s="9" t="s">
        <v>793</v>
      </c>
      <c r="J17" s="27"/>
      <c r="K17" s="27"/>
      <c r="L17" s="209"/>
      <c r="M17" s="238"/>
      <c r="N17" s="214"/>
    </row>
    <row r="18" spans="10:14" ht="15">
      <c r="J18" s="27"/>
      <c r="K18" s="27"/>
      <c r="L18" s="206"/>
      <c r="M18" s="238"/>
      <c r="N18" s="214"/>
    </row>
    <row r="19" spans="2:14" ht="15">
      <c r="B19" s="28" t="s">
        <v>61</v>
      </c>
      <c r="D19" s="28"/>
      <c r="K19" s="27"/>
      <c r="L19" s="206">
        <v>555312089</v>
      </c>
      <c r="M19" s="238"/>
      <c r="N19" s="214">
        <v>472513815</v>
      </c>
    </row>
    <row r="20" spans="2:14" ht="15">
      <c r="B20" s="28" t="s">
        <v>62</v>
      </c>
      <c r="D20" s="28"/>
      <c r="K20" s="27"/>
      <c r="L20" s="206">
        <v>134568947.72729</v>
      </c>
      <c r="M20" s="238"/>
      <c r="N20" s="214">
        <f>139513286+4507185</f>
        <v>144020471</v>
      </c>
    </row>
    <row r="21" spans="10:14" ht="15.75" thickBot="1">
      <c r="J21" s="27"/>
      <c r="K21" s="27"/>
      <c r="L21" s="213">
        <f>SUM(L19:L20)</f>
        <v>689881036.72729</v>
      </c>
      <c r="M21" s="238"/>
      <c r="N21" s="236">
        <f>SUM(N19:N20)</f>
        <v>616534286</v>
      </c>
    </row>
    <row r="22" spans="10:14" ht="15.75" thickTop="1">
      <c r="J22" s="27"/>
      <c r="K22" s="27"/>
      <c r="L22" s="209"/>
      <c r="M22" s="238"/>
      <c r="N22" s="231"/>
    </row>
    <row r="23" spans="1:14" ht="15">
      <c r="A23" s="110" t="s">
        <v>572</v>
      </c>
      <c r="B23" s="10" t="s">
        <v>98</v>
      </c>
      <c r="J23" s="27"/>
      <c r="K23" s="27"/>
      <c r="L23" s="209"/>
      <c r="M23" s="238"/>
      <c r="N23" s="231"/>
    </row>
    <row r="24" spans="10:14" ht="15">
      <c r="J24" s="27"/>
      <c r="K24" s="27"/>
      <c r="L24" s="209"/>
      <c r="M24" s="238"/>
      <c r="N24" s="231"/>
    </row>
    <row r="25" spans="2:14" ht="15">
      <c r="B25" s="9" t="s">
        <v>278</v>
      </c>
      <c r="F25" s="51" t="s">
        <v>570</v>
      </c>
      <c r="J25" s="27"/>
      <c r="K25" s="27"/>
      <c r="L25" s="209">
        <v>194750943</v>
      </c>
      <c r="M25" s="238"/>
      <c r="N25" s="231">
        <v>178482597</v>
      </c>
    </row>
    <row r="26" spans="2:14" ht="15">
      <c r="B26" s="9" t="s">
        <v>279</v>
      </c>
      <c r="F26" s="51" t="s">
        <v>571</v>
      </c>
      <c r="J26" s="27"/>
      <c r="K26" s="27"/>
      <c r="L26" s="209">
        <v>1497334</v>
      </c>
      <c r="M26" s="238"/>
      <c r="N26" s="231">
        <v>1484500</v>
      </c>
    </row>
    <row r="27" spans="2:14" ht="15">
      <c r="B27" s="9" t="s">
        <v>283</v>
      </c>
      <c r="J27" s="27"/>
      <c r="K27" s="27"/>
      <c r="L27" s="209">
        <v>172269</v>
      </c>
      <c r="M27" s="238"/>
      <c r="N27" s="231">
        <v>181582</v>
      </c>
    </row>
    <row r="28" spans="2:14" ht="15.75" thickBot="1">
      <c r="B28" s="19"/>
      <c r="J28" s="27"/>
      <c r="K28" s="27"/>
      <c r="L28" s="213">
        <f>SUM(L25:L27)</f>
        <v>196420546</v>
      </c>
      <c r="M28" s="238"/>
      <c r="N28" s="236">
        <f>SUM(N25:N27)</f>
        <v>180148679</v>
      </c>
    </row>
    <row r="29" spans="2:14" ht="15.75" thickTop="1">
      <c r="B29" s="19"/>
      <c r="J29" s="27"/>
      <c r="K29" s="27"/>
      <c r="L29" s="147"/>
      <c r="M29" s="238"/>
      <c r="N29" s="53"/>
    </row>
    <row r="30" spans="1:15" ht="15">
      <c r="A30" s="110" t="s">
        <v>573</v>
      </c>
      <c r="B30" s="104" t="s">
        <v>297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25"/>
    </row>
    <row r="31" spans="1:15" ht="15">
      <c r="A31" s="110"/>
      <c r="B31" s="104" t="s">
        <v>298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25"/>
    </row>
    <row r="32" spans="1:15" ht="15">
      <c r="A32" s="110"/>
      <c r="B32" s="104" t="s">
        <v>299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25"/>
    </row>
    <row r="33" spans="1:15" ht="15">
      <c r="A33" s="11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25"/>
    </row>
    <row r="34" spans="1:15" ht="15">
      <c r="A34" s="110" t="s">
        <v>574</v>
      </c>
      <c r="B34" s="104" t="s">
        <v>427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25"/>
    </row>
    <row r="35" spans="1:15" ht="15">
      <c r="A35" s="110"/>
      <c r="B35" s="104" t="s">
        <v>681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25"/>
    </row>
    <row r="36" spans="1:15" ht="15">
      <c r="A36" s="110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25"/>
    </row>
    <row r="37" spans="1:15" ht="15">
      <c r="A37" s="110" t="s">
        <v>570</v>
      </c>
      <c r="B37" s="9" t="s">
        <v>334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25"/>
    </row>
    <row r="38" spans="1:15" ht="15">
      <c r="A38" s="110"/>
      <c r="B38" s="9" t="s">
        <v>335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25"/>
    </row>
    <row r="39" spans="1:34" ht="15">
      <c r="A39" s="30"/>
      <c r="B39" s="9" t="s">
        <v>336</v>
      </c>
      <c r="D39" s="137"/>
      <c r="E39" s="137"/>
      <c r="F39" s="137"/>
      <c r="G39" s="137"/>
      <c r="H39" s="137"/>
      <c r="I39" s="137"/>
      <c r="J39" s="137"/>
      <c r="K39" s="137"/>
      <c r="L39" s="40"/>
      <c r="M39" s="40"/>
      <c r="N39" s="40"/>
      <c r="O39" s="18"/>
      <c r="P39" s="2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>
      <c r="A40" s="105"/>
      <c r="B40" s="10"/>
      <c r="L40" s="40"/>
      <c r="M40" s="40"/>
      <c r="N40" s="40"/>
      <c r="O40" s="18"/>
      <c r="P40" s="2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>
      <c r="A41" s="110" t="s">
        <v>571</v>
      </c>
      <c r="B41" s="9" t="s">
        <v>715</v>
      </c>
      <c r="L41" s="40"/>
      <c r="M41" s="40"/>
      <c r="N41" s="40"/>
      <c r="O41" s="18"/>
      <c r="P41" s="2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>
      <c r="A42" s="30"/>
      <c r="L42" s="40"/>
      <c r="M42" s="40"/>
      <c r="N42" s="40"/>
      <c r="O42" s="18"/>
      <c r="P42" s="2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>
      <c r="A43" s="30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247"/>
      <c r="M43" s="247"/>
      <c r="N43" s="247"/>
      <c r="O43" s="152"/>
      <c r="P43" s="179"/>
      <c r="Q43" s="17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>
      <c r="A44" s="30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9"/>
      <c r="M44" s="89"/>
      <c r="N44" s="9"/>
      <c r="O44" s="152"/>
      <c r="P44" s="179"/>
      <c r="Q44" s="17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>
      <c r="A45" s="30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9"/>
      <c r="M45" s="89"/>
      <c r="N45" s="9"/>
      <c r="O45" s="152"/>
      <c r="P45" s="179"/>
      <c r="Q45" s="17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">
      <c r="A46" s="30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9"/>
      <c r="M46" s="59"/>
      <c r="N46" s="9"/>
      <c r="O46" s="152"/>
      <c r="P46" s="179"/>
      <c r="Q46" s="17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ht="16.5" customHeight="1" hidden="1">
      <c r="A47" s="110"/>
    </row>
    <row r="48" spans="14:15" ht="15">
      <c r="N48" s="578"/>
      <c r="O48" s="578"/>
    </row>
    <row r="49" ht="26.25" customHeight="1"/>
    <row r="51" ht="15">
      <c r="J51" s="46"/>
    </row>
  </sheetData>
  <mergeCells count="3">
    <mergeCell ref="N48:O48"/>
    <mergeCell ref="L2:N2"/>
    <mergeCell ref="J1:J3"/>
  </mergeCells>
  <printOptions/>
  <pageMargins left="0.75" right="0.5" top="1" bottom="1" header="0.5" footer="0.5"/>
  <pageSetup fitToHeight="1" fitToWidth="1" horizontalDpi="600" verticalDpi="600" orientation="portrait" paperSize="9" scale="96" r:id="rId1"/>
  <rowBreaks count="1" manualBreakCount="1">
    <brk id="4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99"/>
  <sheetViews>
    <sheetView zoomScaleSheetLayoutView="100" workbookViewId="0" topLeftCell="A78">
      <selection activeCell="K54" sqref="K54:L57"/>
    </sheetView>
  </sheetViews>
  <sheetFormatPr defaultColWidth="9.140625" defaultRowHeight="12.75"/>
  <cols>
    <col min="1" max="1" width="4.7109375" style="9" customWidth="1"/>
    <col min="2" max="2" width="1.8515625" style="9" customWidth="1"/>
    <col min="3" max="3" width="6.28125" style="9" customWidth="1"/>
    <col min="4" max="5" width="7.57421875" style="9" customWidth="1"/>
    <col min="6" max="6" width="12.7109375" style="9" customWidth="1"/>
    <col min="7" max="7" width="6.57421875" style="9" customWidth="1"/>
    <col min="8" max="8" width="2.7109375" style="9" customWidth="1"/>
    <col min="9" max="9" width="7.7109375" style="197" customWidth="1"/>
    <col min="10" max="10" width="0.85546875" style="9" customWidth="1"/>
    <col min="11" max="11" width="14.7109375" style="54" bestFit="1" customWidth="1"/>
    <col min="12" max="12" width="0.85546875" style="54" customWidth="1"/>
    <col min="13" max="13" width="1.7109375" style="37" customWidth="1"/>
    <col min="14" max="14" width="0.85546875" style="37" customWidth="1"/>
    <col min="15" max="15" width="13.7109375" style="37" customWidth="1"/>
    <col min="16" max="16" width="0.85546875" style="2" customWidth="1"/>
    <col min="17" max="17" width="0.71875" style="2" customWidth="1"/>
    <col min="18" max="18" width="14.00390625" style="2" hidden="1" customWidth="1"/>
    <col min="19" max="19" width="0" style="2" hidden="1" customWidth="1"/>
    <col min="20" max="20" width="10.140625" style="2" customWidth="1"/>
    <col min="21" max="16384" width="7.57421875" style="9" customWidth="1"/>
  </cols>
  <sheetData>
    <row r="1" spans="1:2" ht="15">
      <c r="A1" s="105" t="s">
        <v>356</v>
      </c>
      <c r="B1" s="10" t="s">
        <v>895</v>
      </c>
    </row>
    <row r="2" spans="1:2" ht="15">
      <c r="A2" s="105"/>
      <c r="B2" s="10" t="s">
        <v>509</v>
      </c>
    </row>
    <row r="3" ht="15">
      <c r="A3" s="30"/>
    </row>
    <row r="4" spans="1:4" ht="15">
      <c r="A4" s="30"/>
      <c r="B4" s="104" t="s">
        <v>203</v>
      </c>
      <c r="C4" s="104"/>
      <c r="D4" s="104"/>
    </row>
    <row r="5" spans="1:4" ht="15">
      <c r="A5" s="30"/>
      <c r="B5" s="302" t="s">
        <v>204</v>
      </c>
      <c r="C5" s="104"/>
      <c r="D5" s="104"/>
    </row>
    <row r="6" spans="1:4" ht="15">
      <c r="A6" s="30"/>
      <c r="B6" s="302" t="s">
        <v>213</v>
      </c>
      <c r="C6" s="104"/>
      <c r="D6" s="104"/>
    </row>
    <row r="7" spans="1:4" ht="15">
      <c r="A7" s="30"/>
      <c r="B7" s="104" t="s">
        <v>667</v>
      </c>
      <c r="C7" s="104"/>
      <c r="D7" s="104"/>
    </row>
    <row r="8" spans="1:4" ht="15">
      <c r="A8" s="30"/>
      <c r="B8" s="104" t="s">
        <v>668</v>
      </c>
      <c r="C8" s="104"/>
      <c r="D8" s="104"/>
    </row>
    <row r="9" spans="1:4" ht="15">
      <c r="A9" s="30"/>
      <c r="B9" s="104" t="s">
        <v>669</v>
      </c>
      <c r="C9" s="104"/>
      <c r="D9" s="104"/>
    </row>
    <row r="10" spans="1:4" ht="15">
      <c r="A10" s="30"/>
      <c r="B10" s="184"/>
      <c r="C10" s="184"/>
      <c r="D10" s="184"/>
    </row>
    <row r="11" spans="1:15" ht="15">
      <c r="A11" s="30"/>
      <c r="B11" s="104" t="s">
        <v>889</v>
      </c>
      <c r="C11" s="104"/>
      <c r="D11" s="104"/>
      <c r="K11" s="38" t="s">
        <v>281</v>
      </c>
      <c r="L11" s="40"/>
      <c r="O11" s="88" t="s">
        <v>403</v>
      </c>
    </row>
    <row r="12" spans="1:15" ht="15">
      <c r="A12" s="30"/>
      <c r="B12" s="104"/>
      <c r="C12" s="104"/>
      <c r="D12" s="104"/>
      <c r="K12" s="581" t="s">
        <v>320</v>
      </c>
      <c r="L12" s="581"/>
      <c r="M12" s="581"/>
      <c r="N12" s="581"/>
      <c r="O12" s="581"/>
    </row>
    <row r="13" spans="1:15" ht="15">
      <c r="A13" s="30"/>
      <c r="B13" s="104"/>
      <c r="C13" s="104"/>
      <c r="D13" s="104"/>
      <c r="K13" s="89"/>
      <c r="L13" s="89"/>
      <c r="M13" s="89"/>
      <c r="N13" s="89"/>
      <c r="O13" s="89"/>
    </row>
    <row r="14" spans="1:15" ht="15">
      <c r="A14" s="30"/>
      <c r="B14" s="104" t="s">
        <v>754</v>
      </c>
      <c r="C14" s="104"/>
      <c r="D14" s="104"/>
      <c r="K14" s="206">
        <v>12035520</v>
      </c>
      <c r="O14" s="214">
        <v>11794613</v>
      </c>
    </row>
    <row r="15" spans="1:15" ht="15">
      <c r="A15" s="30"/>
      <c r="B15" s="104" t="s">
        <v>756</v>
      </c>
      <c r="C15" s="104"/>
      <c r="D15" s="104"/>
      <c r="K15" s="206">
        <v>1088559</v>
      </c>
      <c r="O15" s="214">
        <v>1774629</v>
      </c>
    </row>
    <row r="16" spans="11:15" ht="15.75" thickBot="1">
      <c r="K16" s="213">
        <f>SUM(K14:K15)</f>
        <v>13124079</v>
      </c>
      <c r="O16" s="236">
        <f>SUM(O14:O15)</f>
        <v>13569242</v>
      </c>
    </row>
    <row r="17" ht="15.75" thickTop="1"/>
    <row r="18" spans="1:2" ht="15">
      <c r="A18" s="105" t="s">
        <v>357</v>
      </c>
      <c r="B18" s="10" t="s">
        <v>884</v>
      </c>
    </row>
    <row r="20" spans="2:15" ht="15">
      <c r="B20" s="104" t="s">
        <v>246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79"/>
    </row>
    <row r="21" spans="2:15" ht="15">
      <c r="B21" s="104" t="s">
        <v>428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79"/>
    </row>
    <row r="23" spans="1:2" ht="15">
      <c r="A23" s="105" t="s">
        <v>257</v>
      </c>
      <c r="B23" s="10" t="s">
        <v>761</v>
      </c>
    </row>
    <row r="24" spans="1:3" ht="15">
      <c r="A24" s="105"/>
      <c r="B24" s="10" t="s">
        <v>273</v>
      </c>
      <c r="C24" s="10"/>
    </row>
    <row r="26" spans="2:15" ht="15">
      <c r="B26" s="104" t="s">
        <v>247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74"/>
    </row>
    <row r="27" spans="2:15" ht="15">
      <c r="B27" s="104" t="s">
        <v>248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74"/>
    </row>
    <row r="28" spans="2:15" ht="15">
      <c r="B28" s="174" t="s">
        <v>249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</row>
    <row r="29" spans="2:15" ht="15">
      <c r="B29" s="174" t="s">
        <v>254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</row>
    <row r="31" spans="1:15" ht="15">
      <c r="A31" s="105" t="s">
        <v>359</v>
      </c>
      <c r="B31" s="10" t="s">
        <v>762</v>
      </c>
      <c r="I31" s="185"/>
      <c r="J31" s="130"/>
      <c r="K31" s="38"/>
      <c r="L31" s="40"/>
      <c r="O31" s="88"/>
    </row>
    <row r="32" spans="9:15" ht="15">
      <c r="I32" s="185"/>
      <c r="J32" s="14"/>
      <c r="K32" s="230"/>
      <c r="L32" s="230"/>
      <c r="M32" s="59"/>
      <c r="N32" s="59"/>
      <c r="O32" s="89"/>
    </row>
    <row r="33" spans="2:15" ht="15">
      <c r="B33" s="9" t="s">
        <v>317</v>
      </c>
      <c r="I33" s="185" t="s">
        <v>575</v>
      </c>
      <c r="J33" s="131"/>
      <c r="K33" s="206">
        <v>139340</v>
      </c>
      <c r="L33" s="59"/>
      <c r="M33" s="59"/>
      <c r="N33" s="59"/>
      <c r="O33" s="214">
        <v>145618</v>
      </c>
    </row>
    <row r="34" spans="2:15" ht="15">
      <c r="B34" s="9" t="s">
        <v>690</v>
      </c>
      <c r="I34" s="185"/>
      <c r="J34" s="14"/>
      <c r="K34" s="232">
        <v>2865468</v>
      </c>
      <c r="L34" s="43"/>
      <c r="M34" s="43"/>
      <c r="N34" s="43"/>
      <c r="O34" s="233">
        <v>2961213</v>
      </c>
    </row>
    <row r="35" spans="2:15" ht="15">
      <c r="B35" s="28"/>
      <c r="I35" s="185"/>
      <c r="J35" s="14"/>
      <c r="K35" s="209">
        <f>SUM(K33:K34)</f>
        <v>3004808</v>
      </c>
      <c r="L35" s="43"/>
      <c r="M35" s="43"/>
      <c r="N35" s="43"/>
      <c r="O35" s="231">
        <f>SUM(O33:O34)</f>
        <v>3106831</v>
      </c>
    </row>
    <row r="36" spans="2:15" ht="15">
      <c r="B36" s="104" t="s">
        <v>319</v>
      </c>
      <c r="C36" s="104"/>
      <c r="D36" s="104"/>
      <c r="E36" s="104"/>
      <c r="F36" s="104"/>
      <c r="G36" s="104"/>
      <c r="H36" s="104"/>
      <c r="I36" s="185" t="s">
        <v>806</v>
      </c>
      <c r="J36" s="131"/>
      <c r="K36" s="209">
        <f>-K34</f>
        <v>-2865468</v>
      </c>
      <c r="L36" s="43"/>
      <c r="M36" s="43"/>
      <c r="N36" s="43"/>
      <c r="O36" s="231">
        <v>-2961213</v>
      </c>
    </row>
    <row r="37" spans="9:15" ht="15.75" thickBot="1">
      <c r="I37" s="185"/>
      <c r="J37" s="14"/>
      <c r="K37" s="213">
        <f>K35+K36</f>
        <v>139340</v>
      </c>
      <c r="L37" s="43"/>
      <c r="M37" s="43"/>
      <c r="N37" s="43"/>
      <c r="O37" s="236">
        <f>O35+O36</f>
        <v>145618</v>
      </c>
    </row>
    <row r="38" spans="9:15" ht="15.75" thickTop="1">
      <c r="I38" s="185"/>
      <c r="J38" s="14"/>
      <c r="K38" s="230"/>
      <c r="L38" s="230"/>
      <c r="M38" s="59"/>
      <c r="N38" s="59"/>
      <c r="O38" s="230"/>
    </row>
    <row r="39" spans="1:15" ht="15">
      <c r="A39" s="105" t="s">
        <v>806</v>
      </c>
      <c r="B39" s="305" t="s">
        <v>258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</row>
    <row r="40" spans="1:15" ht="15">
      <c r="A40" s="105"/>
      <c r="B40" s="305" t="s">
        <v>272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</row>
    <row r="41" spans="2:15" ht="15">
      <c r="B41" s="305" t="s">
        <v>337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</row>
    <row r="42" spans="9:15" ht="15">
      <c r="I42" s="185"/>
      <c r="J42" s="14"/>
      <c r="K42" s="230"/>
      <c r="L42" s="230"/>
      <c r="M42" s="59"/>
      <c r="N42" s="59"/>
      <c r="O42" s="230"/>
    </row>
    <row r="43" spans="1:15" ht="15">
      <c r="A43" s="105" t="s">
        <v>358</v>
      </c>
      <c r="B43" s="67" t="s">
        <v>544</v>
      </c>
      <c r="I43" s="185"/>
      <c r="J43" s="14"/>
      <c r="K43" s="230"/>
      <c r="L43" s="230"/>
      <c r="M43" s="59"/>
      <c r="N43" s="59"/>
      <c r="O43" s="230"/>
    </row>
    <row r="44" spans="9:15" ht="15">
      <c r="I44" s="185"/>
      <c r="J44" s="14"/>
      <c r="K44" s="230"/>
      <c r="L44" s="230"/>
      <c r="M44" s="59"/>
      <c r="N44" s="59"/>
      <c r="O44" s="230"/>
    </row>
    <row r="45" spans="2:15" ht="15">
      <c r="B45" s="9" t="s">
        <v>522</v>
      </c>
      <c r="I45" s="185"/>
      <c r="J45" s="14"/>
      <c r="K45" s="230"/>
      <c r="L45" s="230"/>
      <c r="M45" s="59"/>
      <c r="N45" s="59"/>
      <c r="O45" s="230"/>
    </row>
    <row r="46" spans="2:15" ht="15">
      <c r="B46" s="9" t="s">
        <v>682</v>
      </c>
      <c r="I46" s="185"/>
      <c r="J46" s="14"/>
      <c r="K46" s="230"/>
      <c r="L46" s="230"/>
      <c r="M46" s="59"/>
      <c r="N46" s="59"/>
      <c r="O46" s="230"/>
    </row>
    <row r="47" spans="1:15" ht="15">
      <c r="A47" s="105" t="s">
        <v>327</v>
      </c>
      <c r="B47" s="10" t="s">
        <v>763</v>
      </c>
      <c r="I47" s="185"/>
      <c r="J47" s="14"/>
      <c r="K47" s="38" t="s">
        <v>281</v>
      </c>
      <c r="L47" s="40"/>
      <c r="O47" s="88" t="s">
        <v>403</v>
      </c>
    </row>
    <row r="48" spans="9:15" ht="15">
      <c r="I48" s="185"/>
      <c r="J48" s="14"/>
      <c r="K48" s="581" t="s">
        <v>320</v>
      </c>
      <c r="L48" s="581"/>
      <c r="M48" s="581"/>
      <c r="N48" s="581"/>
      <c r="O48" s="581"/>
    </row>
    <row r="49" spans="9:15" ht="15">
      <c r="I49" s="185"/>
      <c r="J49" s="14"/>
      <c r="K49" s="89"/>
      <c r="L49" s="89"/>
      <c r="M49" s="89"/>
      <c r="N49" s="89"/>
      <c r="O49" s="89"/>
    </row>
    <row r="50" spans="2:15" ht="15">
      <c r="B50" s="19" t="s">
        <v>489</v>
      </c>
      <c r="I50" s="185"/>
      <c r="J50" s="14"/>
      <c r="K50" s="107"/>
      <c r="L50" s="107"/>
      <c r="M50" s="59"/>
      <c r="N50" s="59"/>
      <c r="O50" s="59"/>
    </row>
    <row r="51" spans="2:15" ht="15">
      <c r="B51" s="19"/>
      <c r="I51" s="185"/>
      <c r="J51" s="14"/>
      <c r="K51" s="107"/>
      <c r="L51" s="107"/>
      <c r="M51" s="59"/>
      <c r="N51" s="59"/>
      <c r="O51" s="59"/>
    </row>
    <row r="52" spans="2:15" ht="15">
      <c r="B52" s="10" t="s">
        <v>866</v>
      </c>
      <c r="I52" s="185" t="s">
        <v>576</v>
      </c>
      <c r="J52" s="14"/>
      <c r="K52" s="107"/>
      <c r="L52" s="107"/>
      <c r="M52" s="59"/>
      <c r="N52" s="59"/>
      <c r="O52" s="59"/>
    </row>
    <row r="53" spans="2:15" ht="15">
      <c r="B53" s="19"/>
      <c r="I53" s="185"/>
      <c r="J53" s="14"/>
      <c r="K53" s="107"/>
      <c r="L53" s="107"/>
      <c r="M53" s="59"/>
      <c r="N53" s="59"/>
      <c r="O53" s="59"/>
    </row>
    <row r="54" spans="2:15" ht="15">
      <c r="B54" s="9" t="s">
        <v>641</v>
      </c>
      <c r="H54" s="18"/>
      <c r="I54" s="248" t="s">
        <v>577</v>
      </c>
      <c r="J54" s="15"/>
      <c r="K54" s="209">
        <v>514510983.52393</v>
      </c>
      <c r="L54" s="43"/>
      <c r="M54" s="43"/>
      <c r="N54" s="43"/>
      <c r="O54" s="231">
        <v>329003605</v>
      </c>
    </row>
    <row r="55" spans="8:15" ht="15" hidden="1">
      <c r="H55" s="18"/>
      <c r="I55" s="248"/>
      <c r="J55" s="15"/>
      <c r="K55" s="209"/>
      <c r="L55" s="43"/>
      <c r="M55" s="43"/>
      <c r="N55" s="43"/>
      <c r="O55" s="231"/>
    </row>
    <row r="56" spans="2:15" ht="15" hidden="1">
      <c r="B56" s="9" t="s">
        <v>386</v>
      </c>
      <c r="H56" s="18"/>
      <c r="I56" s="248"/>
      <c r="J56" s="15"/>
      <c r="K56" s="209"/>
      <c r="L56" s="43"/>
      <c r="M56" s="43"/>
      <c r="N56" s="43"/>
      <c r="O56" s="231">
        <v>0</v>
      </c>
    </row>
    <row r="57" spans="2:15" ht="15">
      <c r="B57" s="9" t="s">
        <v>495</v>
      </c>
      <c r="H57" s="18"/>
      <c r="I57" s="248"/>
      <c r="J57" s="15"/>
      <c r="K57" s="232">
        <v>2740000</v>
      </c>
      <c r="L57" s="43"/>
      <c r="M57" s="43"/>
      <c r="N57" s="43"/>
      <c r="O57" s="233">
        <v>2740000</v>
      </c>
    </row>
    <row r="58" spans="8:15" ht="13.5" customHeight="1">
      <c r="H58" s="18"/>
      <c r="I58" s="185"/>
      <c r="J58" s="14"/>
      <c r="K58" s="209">
        <f>SUM(K54:K57)</f>
        <v>517250983.52393</v>
      </c>
      <c r="L58" s="43"/>
      <c r="M58" s="41"/>
      <c r="N58" s="41"/>
      <c r="O58" s="231">
        <f>SUM(O54:O57)</f>
        <v>331743605</v>
      </c>
    </row>
    <row r="59" spans="8:15" ht="13.5" customHeight="1">
      <c r="H59" s="18"/>
      <c r="I59" s="185"/>
      <c r="J59" s="14"/>
      <c r="K59" s="209"/>
      <c r="L59" s="43"/>
      <c r="M59" s="41"/>
      <c r="N59" s="41"/>
      <c r="O59" s="231"/>
    </row>
    <row r="60" spans="2:15" ht="13.5" customHeight="1">
      <c r="B60" s="19" t="s">
        <v>304</v>
      </c>
      <c r="H60" s="18"/>
      <c r="I60" s="185"/>
      <c r="J60" s="14"/>
      <c r="K60" s="209"/>
      <c r="L60" s="43"/>
      <c r="M60" s="41"/>
      <c r="N60" s="41"/>
      <c r="O60" s="231"/>
    </row>
    <row r="61" spans="11:15" ht="15">
      <c r="K61" s="439"/>
      <c r="O61" s="322"/>
    </row>
    <row r="62" spans="2:15" ht="15">
      <c r="B62" s="10" t="s">
        <v>411</v>
      </c>
      <c r="H62" s="18"/>
      <c r="I62" s="185"/>
      <c r="J62" s="14"/>
      <c r="K62" s="206"/>
      <c r="L62" s="41"/>
      <c r="M62" s="41"/>
      <c r="N62" s="41"/>
      <c r="O62" s="214"/>
    </row>
    <row r="63" spans="8:18" ht="15">
      <c r="H63" s="18"/>
      <c r="I63" s="185"/>
      <c r="J63" s="14"/>
      <c r="K63" s="206"/>
      <c r="L63" s="41"/>
      <c r="M63" s="41"/>
      <c r="N63" s="41"/>
      <c r="O63" s="214"/>
      <c r="R63" s="79">
        <f>K57+K69+K70</f>
        <v>3134751</v>
      </c>
    </row>
    <row r="64" spans="2:16" ht="15">
      <c r="B64" s="9" t="s">
        <v>318</v>
      </c>
      <c r="H64" s="18"/>
      <c r="J64" s="132"/>
      <c r="K64" s="437"/>
      <c r="L64" s="249"/>
      <c r="M64" s="43"/>
      <c r="N64" s="250"/>
      <c r="O64" s="438"/>
      <c r="P64" s="122"/>
    </row>
    <row r="65" spans="2:16" ht="15">
      <c r="B65" s="34" t="s">
        <v>97</v>
      </c>
      <c r="C65" s="9" t="s">
        <v>395</v>
      </c>
      <c r="H65" s="18"/>
      <c r="I65" s="185"/>
      <c r="J65" s="133"/>
      <c r="K65" s="210">
        <v>14967804</v>
      </c>
      <c r="L65" s="252"/>
      <c r="M65" s="43"/>
      <c r="N65" s="253"/>
      <c r="O65" s="280">
        <v>15892481</v>
      </c>
      <c r="P65" s="124"/>
    </row>
    <row r="66" spans="2:16" ht="15">
      <c r="B66" s="34" t="s">
        <v>97</v>
      </c>
      <c r="C66" s="9" t="s">
        <v>939</v>
      </c>
      <c r="H66" s="18"/>
      <c r="I66" s="185"/>
      <c r="J66" s="133"/>
      <c r="K66" s="212">
        <v>11576859</v>
      </c>
      <c r="L66" s="252"/>
      <c r="M66" s="43"/>
      <c r="N66" s="253"/>
      <c r="O66" s="281">
        <v>14449809</v>
      </c>
      <c r="P66" s="124"/>
    </row>
    <row r="67" spans="2:18" ht="15">
      <c r="B67" s="47"/>
      <c r="H67" s="18"/>
      <c r="I67" s="185" t="s">
        <v>578</v>
      </c>
      <c r="J67" s="133"/>
      <c r="K67" s="209">
        <f>SUM(K65:K66)</f>
        <v>26544663</v>
      </c>
      <c r="L67" s="252"/>
      <c r="M67" s="43"/>
      <c r="N67" s="253"/>
      <c r="O67" s="231">
        <f>SUM(O65:O66)</f>
        <v>30342290</v>
      </c>
      <c r="P67" s="124"/>
      <c r="R67" s="2">
        <v>26544663</v>
      </c>
    </row>
    <row r="68" spans="2:16" ht="15">
      <c r="B68" s="47"/>
      <c r="H68" s="18"/>
      <c r="I68" s="185"/>
      <c r="J68" s="133"/>
      <c r="K68" s="209"/>
      <c r="L68" s="252"/>
      <c r="M68" s="43"/>
      <c r="N68" s="253"/>
      <c r="O68" s="231"/>
      <c r="P68" s="124"/>
    </row>
    <row r="69" spans="2:17" ht="15">
      <c r="B69" s="9" t="s">
        <v>844</v>
      </c>
      <c r="J69" s="123"/>
      <c r="K69" s="209">
        <v>282400</v>
      </c>
      <c r="L69" s="252"/>
      <c r="M69" s="109"/>
      <c r="N69" s="256"/>
      <c r="O69" s="231">
        <v>282400</v>
      </c>
      <c r="P69" s="124"/>
      <c r="Q69" s="6"/>
    </row>
    <row r="70" spans="2:16" ht="15">
      <c r="B70" s="9" t="s">
        <v>621</v>
      </c>
      <c r="J70" s="126"/>
      <c r="K70" s="232">
        <v>112351</v>
      </c>
      <c r="L70" s="254"/>
      <c r="M70" s="41"/>
      <c r="N70" s="255"/>
      <c r="O70" s="233">
        <v>112351</v>
      </c>
      <c r="P70" s="127"/>
    </row>
    <row r="71" spans="6:16" ht="15">
      <c r="F71" s="46"/>
      <c r="J71" s="399"/>
      <c r="K71" s="437">
        <f>SUM(K67:K70)</f>
        <v>26939414</v>
      </c>
      <c r="L71" s="257"/>
      <c r="M71" s="109"/>
      <c r="N71" s="257"/>
      <c r="O71" s="438">
        <f>SUM(O67:O70)</f>
        <v>30737041</v>
      </c>
      <c r="P71" s="400"/>
    </row>
    <row r="72" spans="2:18" ht="15">
      <c r="B72" s="9" t="s">
        <v>223</v>
      </c>
      <c r="F72" s="46"/>
      <c r="I72" s="401"/>
      <c r="J72" s="402"/>
      <c r="K72" s="232">
        <v>374924</v>
      </c>
      <c r="L72" s="258"/>
      <c r="M72" s="109"/>
      <c r="N72" s="258"/>
      <c r="O72" s="233">
        <v>384506</v>
      </c>
      <c r="P72" s="303"/>
      <c r="Q72" s="6"/>
      <c r="R72" s="6"/>
    </row>
    <row r="73" spans="5:15" ht="15">
      <c r="E73" s="279"/>
      <c r="H73" s="18"/>
      <c r="I73" s="185"/>
      <c r="J73" s="14"/>
      <c r="K73" s="209">
        <f>K58+K71+K72</f>
        <v>544565321.5239301</v>
      </c>
      <c r="L73" s="43"/>
      <c r="M73" s="41"/>
      <c r="N73" s="41"/>
      <c r="O73" s="231">
        <f>O58+O71+O72</f>
        <v>362865152</v>
      </c>
    </row>
    <row r="74" spans="5:15" ht="15">
      <c r="E74" s="279"/>
      <c r="H74" s="18"/>
      <c r="I74" s="185"/>
      <c r="J74" s="14"/>
      <c r="K74" s="209"/>
      <c r="L74" s="43"/>
      <c r="M74" s="41"/>
      <c r="N74" s="41"/>
      <c r="O74" s="231"/>
    </row>
    <row r="75" spans="2:16" ht="15">
      <c r="B75" s="104" t="s">
        <v>150</v>
      </c>
      <c r="C75" s="104"/>
      <c r="D75" s="104"/>
      <c r="E75" s="104"/>
      <c r="F75" s="104"/>
      <c r="H75" s="18"/>
      <c r="I75" s="185"/>
      <c r="J75" s="244"/>
      <c r="K75" s="232">
        <v>-601751</v>
      </c>
      <c r="L75" s="45"/>
      <c r="M75" s="41"/>
      <c r="N75" s="45"/>
      <c r="O75" s="233">
        <v>-789876</v>
      </c>
      <c r="P75" s="303"/>
    </row>
    <row r="76" spans="8:16" ht="15">
      <c r="H76" s="18"/>
      <c r="I76" s="185"/>
      <c r="J76" s="404"/>
      <c r="K76" s="437">
        <f>SUM(K73:K75)</f>
        <v>543963570.5239301</v>
      </c>
      <c r="L76" s="251"/>
      <c r="M76" s="41"/>
      <c r="N76" s="251"/>
      <c r="O76" s="438">
        <f>SUM(O73:O75)</f>
        <v>362075276</v>
      </c>
      <c r="P76" s="400"/>
    </row>
    <row r="77" spans="2:15" ht="15">
      <c r="B77" s="137" t="s">
        <v>642</v>
      </c>
      <c r="C77" s="31"/>
      <c r="D77" s="31"/>
      <c r="E77" s="31"/>
      <c r="F77" s="31"/>
      <c r="H77" s="18"/>
      <c r="I77" s="185"/>
      <c r="J77" s="14"/>
      <c r="K77" s="209"/>
      <c r="L77" s="43"/>
      <c r="M77" s="41"/>
      <c r="N77" s="41"/>
      <c r="O77" s="231"/>
    </row>
    <row r="78" spans="2:16" ht="16.5" customHeight="1">
      <c r="B78" s="137" t="s">
        <v>274</v>
      </c>
      <c r="C78" s="137"/>
      <c r="D78" s="137"/>
      <c r="E78" s="137"/>
      <c r="F78" s="137"/>
      <c r="G78" s="137"/>
      <c r="H78" s="137"/>
      <c r="I78" s="185"/>
      <c r="J78" s="244"/>
      <c r="K78" s="232">
        <v>-135585429</v>
      </c>
      <c r="L78" s="45"/>
      <c r="M78" s="41"/>
      <c r="N78" s="45"/>
      <c r="O78" s="233">
        <v>-162802630</v>
      </c>
      <c r="P78" s="9"/>
    </row>
    <row r="79" spans="2:15" ht="0.75" customHeight="1" hidden="1">
      <c r="B79" s="63"/>
      <c r="C79" s="63"/>
      <c r="D79" s="63"/>
      <c r="E79" s="63"/>
      <c r="F79" s="63"/>
      <c r="G79" s="63"/>
      <c r="H79" s="63"/>
      <c r="I79" s="185"/>
      <c r="J79" s="14"/>
      <c r="K79" s="209"/>
      <c r="L79" s="43"/>
      <c r="M79" s="41"/>
      <c r="N79" s="41"/>
      <c r="O79" s="231"/>
    </row>
    <row r="80" spans="2:16" ht="15.75" thickBot="1">
      <c r="B80" s="63"/>
      <c r="C80" s="63"/>
      <c r="D80" s="63"/>
      <c r="E80" s="63"/>
      <c r="F80" s="63"/>
      <c r="G80" s="63"/>
      <c r="H80" s="63"/>
      <c r="I80" s="185"/>
      <c r="J80" s="395"/>
      <c r="K80" s="213">
        <f>K76+K78</f>
        <v>408378141.5239301</v>
      </c>
      <c r="L80" s="50"/>
      <c r="M80" s="41"/>
      <c r="N80" s="50"/>
      <c r="O80" s="236">
        <f>O76+O78</f>
        <v>199272646</v>
      </c>
      <c r="P80" s="403"/>
    </row>
    <row r="81" spans="1:15" ht="15.75" thickTop="1">
      <c r="A81" s="2"/>
      <c r="B81" s="2"/>
      <c r="C81" s="2"/>
      <c r="D81" s="2"/>
      <c r="E81" s="2"/>
      <c r="F81" s="2"/>
      <c r="G81" s="2"/>
      <c r="H81" s="2"/>
      <c r="I81" s="304"/>
      <c r="J81" s="2"/>
      <c r="K81" s="55"/>
      <c r="L81" s="55"/>
      <c r="M81" s="55"/>
      <c r="N81" s="55"/>
      <c r="O81" s="55"/>
    </row>
    <row r="82" spans="1:15" ht="15">
      <c r="A82" s="112" t="s">
        <v>576</v>
      </c>
      <c r="B82" s="142" t="s">
        <v>412</v>
      </c>
      <c r="C82" s="113"/>
      <c r="D82" s="113"/>
      <c r="E82" s="2"/>
      <c r="F82" s="2"/>
      <c r="G82" s="2"/>
      <c r="H82" s="2"/>
      <c r="I82" s="304"/>
      <c r="J82" s="2"/>
      <c r="K82" s="55"/>
      <c r="L82" s="55"/>
      <c r="M82" s="55"/>
      <c r="N82" s="55"/>
      <c r="O82" s="55"/>
    </row>
    <row r="83" spans="1:15" ht="15">
      <c r="A83" s="114"/>
      <c r="B83" s="63"/>
      <c r="C83" s="63"/>
      <c r="D83" s="63"/>
      <c r="E83" s="2"/>
      <c r="F83" s="2"/>
      <c r="G83" s="2"/>
      <c r="H83" s="2"/>
      <c r="I83" s="304"/>
      <c r="J83" s="2"/>
      <c r="K83" s="55"/>
      <c r="L83" s="55"/>
      <c r="M83" s="55"/>
      <c r="N83" s="55"/>
      <c r="O83" s="55"/>
    </row>
    <row r="84" spans="1:15" ht="15">
      <c r="A84" s="114"/>
      <c r="B84" s="104" t="s">
        <v>308</v>
      </c>
      <c r="C84" s="104"/>
      <c r="D84" s="104"/>
      <c r="E84" s="2"/>
      <c r="F84" s="2"/>
      <c r="G84" s="2"/>
      <c r="H84" s="2"/>
      <c r="I84" s="304"/>
      <c r="J84" s="2"/>
      <c r="K84" s="55"/>
      <c r="L84" s="55"/>
      <c r="M84" s="55"/>
      <c r="N84" s="55"/>
      <c r="O84" s="55"/>
    </row>
    <row r="85" spans="1:15" ht="15">
      <c r="A85" s="114"/>
      <c r="B85" s="104" t="s">
        <v>309</v>
      </c>
      <c r="C85" s="104"/>
      <c r="D85" s="104"/>
      <c r="E85" s="2"/>
      <c r="F85" s="2"/>
      <c r="G85" s="2"/>
      <c r="H85" s="2"/>
      <c r="I85" s="304"/>
      <c r="J85" s="2"/>
      <c r="K85" s="55"/>
      <c r="L85" s="55"/>
      <c r="M85" s="55"/>
      <c r="N85" s="55"/>
      <c r="O85" s="55"/>
    </row>
    <row r="86" spans="1:15" ht="15">
      <c r="A86" s="2"/>
      <c r="B86" s="2"/>
      <c r="C86" s="2"/>
      <c r="D86" s="2"/>
      <c r="E86" s="2"/>
      <c r="F86" s="2"/>
      <c r="G86" s="2"/>
      <c r="H86" s="2"/>
      <c r="I86" s="304"/>
      <c r="J86" s="2"/>
      <c r="K86" s="55"/>
      <c r="L86" s="55"/>
      <c r="M86" s="55"/>
      <c r="N86" s="55"/>
      <c r="O86" s="55"/>
    </row>
    <row r="87" spans="1:15" ht="15">
      <c r="A87" s="2"/>
      <c r="B87" s="2"/>
      <c r="C87" s="2"/>
      <c r="D87" s="2"/>
      <c r="E87" s="2"/>
      <c r="F87" s="2"/>
      <c r="G87" s="2"/>
      <c r="H87" s="2"/>
      <c r="I87" s="304"/>
      <c r="J87" s="2"/>
      <c r="K87" s="38" t="s">
        <v>281</v>
      </c>
      <c r="L87" s="40"/>
      <c r="O87" s="88" t="s">
        <v>403</v>
      </c>
    </row>
    <row r="88" spans="1:15" ht="15">
      <c r="A88" s="2"/>
      <c r="B88" s="2"/>
      <c r="C88" s="2"/>
      <c r="D88" s="2"/>
      <c r="E88" s="2"/>
      <c r="F88" s="2"/>
      <c r="G88" s="2"/>
      <c r="H88" s="2"/>
      <c r="I88" s="304"/>
      <c r="J88" s="2"/>
      <c r="K88" s="582" t="s">
        <v>137</v>
      </c>
      <c r="L88" s="582"/>
      <c r="M88" s="582"/>
      <c r="N88" s="582"/>
      <c r="O88" s="582"/>
    </row>
    <row r="89" spans="1:15" ht="15">
      <c r="A89" s="2"/>
      <c r="B89" s="2"/>
      <c r="C89" s="2"/>
      <c r="D89" s="2"/>
      <c r="E89" s="2"/>
      <c r="F89" s="2"/>
      <c r="G89" s="2"/>
      <c r="H89" s="2"/>
      <c r="I89" s="304"/>
      <c r="J89" s="2"/>
      <c r="K89" s="55"/>
      <c r="L89" s="55"/>
      <c r="M89" s="55"/>
      <c r="N89" s="55"/>
      <c r="O89" s="55"/>
    </row>
    <row r="90" spans="1:15" ht="15">
      <c r="A90" s="2"/>
      <c r="B90" s="9" t="s">
        <v>385</v>
      </c>
      <c r="G90" s="33"/>
      <c r="H90" s="33"/>
      <c r="I90" s="33"/>
      <c r="J90" s="10" t="s">
        <v>328</v>
      </c>
      <c r="K90" s="36"/>
      <c r="L90" s="108"/>
      <c r="M90" s="108"/>
      <c r="N90" s="260" t="s">
        <v>898</v>
      </c>
      <c r="O90" s="55"/>
    </row>
    <row r="91" spans="1:15" ht="15">
      <c r="A91" s="2"/>
      <c r="B91" s="9" t="s">
        <v>495</v>
      </c>
      <c r="D91" s="2"/>
      <c r="E91" s="2"/>
      <c r="F91" s="2"/>
      <c r="G91" s="2"/>
      <c r="H91" s="2"/>
      <c r="I91" s="304"/>
      <c r="J91" s="2"/>
      <c r="K91" s="23">
        <v>3</v>
      </c>
      <c r="L91" s="108"/>
      <c r="M91" s="108"/>
      <c r="N91" s="108"/>
      <c r="O91" s="259">
        <v>3</v>
      </c>
    </row>
    <row r="92" spans="1:15" ht="15">
      <c r="A92" s="2"/>
      <c r="D92" s="2"/>
      <c r="E92" s="2"/>
      <c r="F92" s="2"/>
      <c r="G92" s="2"/>
      <c r="H92" s="2"/>
      <c r="I92" s="304"/>
      <c r="J92" s="2"/>
      <c r="K92" s="23"/>
      <c r="L92" s="108"/>
      <c r="M92" s="108"/>
      <c r="N92" s="108"/>
      <c r="O92" s="259"/>
    </row>
    <row r="93" spans="1:15" ht="15">
      <c r="A93" s="112" t="s">
        <v>577</v>
      </c>
      <c r="B93" s="9" t="s">
        <v>338</v>
      </c>
      <c r="D93" s="2"/>
      <c r="E93" s="2"/>
      <c r="F93" s="2"/>
      <c r="G93" s="2"/>
      <c r="H93" s="2"/>
      <c r="I93" s="304"/>
      <c r="J93" s="2"/>
      <c r="K93" s="23"/>
      <c r="L93" s="108"/>
      <c r="M93" s="108"/>
      <c r="N93" s="108"/>
      <c r="O93" s="259"/>
    </row>
    <row r="94" spans="1:15" ht="15">
      <c r="A94" s="114"/>
      <c r="B94" s="9" t="s">
        <v>922</v>
      </c>
      <c r="D94" s="2"/>
      <c r="E94" s="2"/>
      <c r="F94" s="2"/>
      <c r="G94" s="2"/>
      <c r="H94" s="2"/>
      <c r="I94" s="304"/>
      <c r="J94" s="2"/>
      <c r="K94" s="23"/>
      <c r="L94" s="108"/>
      <c r="M94" s="108"/>
      <c r="N94" s="108"/>
      <c r="O94" s="259"/>
    </row>
    <row r="95" spans="1:15" ht="15">
      <c r="A95" s="2"/>
      <c r="D95" s="2"/>
      <c r="E95" s="2"/>
      <c r="F95" s="2"/>
      <c r="G95" s="2"/>
      <c r="H95" s="2"/>
      <c r="I95" s="304"/>
      <c r="J95" s="2"/>
      <c r="K95" s="23"/>
      <c r="L95" s="108"/>
      <c r="M95" s="108"/>
      <c r="N95" s="108"/>
      <c r="O95" s="259"/>
    </row>
    <row r="96" spans="1:15" ht="15">
      <c r="A96" s="2"/>
      <c r="B96" s="2"/>
      <c r="C96" s="2"/>
      <c r="D96" s="2"/>
      <c r="E96" s="2"/>
      <c r="F96" s="2"/>
      <c r="G96" s="2"/>
      <c r="H96" s="2"/>
      <c r="I96" s="304"/>
      <c r="J96" s="2"/>
      <c r="K96" s="221"/>
      <c r="L96" s="221"/>
      <c r="M96" s="55"/>
      <c r="N96" s="55"/>
      <c r="O96" s="55"/>
    </row>
    <row r="97" spans="1:15" ht="3.75" customHeight="1">
      <c r="A97" s="2"/>
      <c r="B97" s="2"/>
      <c r="C97" s="2"/>
      <c r="D97" s="2"/>
      <c r="E97" s="2"/>
      <c r="F97" s="2"/>
      <c r="G97" s="2"/>
      <c r="H97" s="2"/>
      <c r="I97" s="304"/>
      <c r="J97" s="2"/>
      <c r="K97" s="221"/>
      <c r="L97" s="221"/>
      <c r="M97" s="55"/>
      <c r="N97" s="55"/>
      <c r="O97" s="55"/>
    </row>
    <row r="98" spans="1:15" ht="15">
      <c r="A98" s="2"/>
      <c r="B98" s="2"/>
      <c r="C98" s="2"/>
      <c r="D98" s="2"/>
      <c r="E98" s="2"/>
      <c r="F98" s="2"/>
      <c r="G98" s="2"/>
      <c r="H98" s="2"/>
      <c r="I98" s="304"/>
      <c r="J98" s="2"/>
      <c r="K98" s="221"/>
      <c r="L98" s="221"/>
      <c r="M98" s="55"/>
      <c r="N98" s="55"/>
      <c r="O98" s="55"/>
    </row>
    <row r="99" spans="1:15" ht="15" customHeight="1">
      <c r="A99" s="2"/>
      <c r="B99" s="2"/>
      <c r="C99" s="2"/>
      <c r="D99" s="2"/>
      <c r="E99" s="2"/>
      <c r="F99" s="2"/>
      <c r="G99" s="2"/>
      <c r="H99" s="2"/>
      <c r="I99" s="304"/>
      <c r="J99" s="2"/>
      <c r="K99" s="221"/>
      <c r="L99" s="221"/>
      <c r="M99" s="55"/>
      <c r="N99" s="55"/>
      <c r="O99" s="55"/>
    </row>
    <row r="100" ht="75" customHeight="1"/>
    <row r="101" ht="0.75" customHeight="1" hidden="1"/>
    <row r="102" ht="15" hidden="1"/>
    <row r="103" ht="0.75" customHeight="1" hidden="1"/>
    <row r="105" ht="12" customHeight="1"/>
    <row r="106" ht="15" hidden="1"/>
    <row r="107" ht="3" customHeight="1"/>
    <row r="108" ht="15" hidden="1"/>
  </sheetData>
  <mergeCells count="3">
    <mergeCell ref="K48:O48"/>
    <mergeCell ref="K12:O12"/>
    <mergeCell ref="K88:O88"/>
  </mergeCells>
  <printOptions/>
  <pageMargins left="0.75" right="0.5" top="1" bottom="1" header="0.5" footer="0.5"/>
  <pageSetup horizontalDpi="600" verticalDpi="600" orientation="portrait" paperSize="9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R79"/>
  <sheetViews>
    <sheetView zoomScaleSheetLayoutView="100" workbookViewId="0" topLeftCell="A34">
      <selection activeCell="N34" sqref="N34"/>
    </sheetView>
  </sheetViews>
  <sheetFormatPr defaultColWidth="9.140625" defaultRowHeight="12.75"/>
  <cols>
    <col min="1" max="1" width="6.421875" style="114" customWidth="1"/>
    <col min="2" max="2" width="2.421875" style="9" customWidth="1"/>
    <col min="3" max="3" width="6.28125" style="9" customWidth="1"/>
    <col min="4" max="4" width="7.57421875" style="9" customWidth="1"/>
    <col min="5" max="5" width="13.7109375" style="9" customWidth="1"/>
    <col min="6" max="7" width="7.140625" style="9" customWidth="1"/>
    <col min="8" max="8" width="16.00390625" style="9" bestFit="1" customWidth="1"/>
    <col min="9" max="9" width="0.85546875" style="9" customWidth="1"/>
    <col min="10" max="10" width="12.7109375" style="54" customWidth="1"/>
    <col min="11" max="11" width="0.85546875" style="54" customWidth="1"/>
    <col min="12" max="12" width="1.7109375" style="37" customWidth="1"/>
    <col min="13" max="13" width="0.85546875" style="37" customWidth="1"/>
    <col min="14" max="14" width="12.7109375" style="37" customWidth="1"/>
    <col min="15" max="15" width="1.28515625" style="9" customWidth="1"/>
    <col min="16" max="16" width="1.421875" style="9" customWidth="1"/>
    <col min="17" max="17" width="0.85546875" style="9" customWidth="1"/>
    <col min="18" max="18" width="17.28125" style="9" hidden="1" customWidth="1"/>
    <col min="19" max="19" width="0.71875" style="9" hidden="1" customWidth="1"/>
    <col min="20" max="20" width="13.57421875" style="9" hidden="1" customWidth="1"/>
    <col min="21" max="16384" width="7.57421875" style="9" customWidth="1"/>
  </cols>
  <sheetData>
    <row r="1" spans="1:14" ht="15">
      <c r="A1" s="112" t="s">
        <v>578</v>
      </c>
      <c r="B1" s="10" t="s">
        <v>286</v>
      </c>
      <c r="C1" s="17"/>
      <c r="D1" s="17"/>
      <c r="E1" s="17"/>
      <c r="F1" s="17"/>
      <c r="G1" s="17"/>
      <c r="H1" s="17"/>
      <c r="I1" s="17"/>
      <c r="J1" s="36"/>
      <c r="K1" s="36"/>
      <c r="L1" s="36"/>
      <c r="M1" s="36"/>
      <c r="N1" s="36"/>
    </row>
    <row r="2" spans="1:14" ht="15">
      <c r="A2" s="112"/>
      <c r="B2" s="10" t="s">
        <v>805</v>
      </c>
      <c r="C2" s="31"/>
      <c r="D2" s="31"/>
      <c r="E2" s="31"/>
      <c r="G2" s="18"/>
      <c r="H2" s="20" t="s">
        <v>579</v>
      </c>
      <c r="J2" s="39"/>
      <c r="K2" s="39"/>
      <c r="L2" s="36"/>
      <c r="M2" s="36"/>
      <c r="N2" s="108"/>
    </row>
    <row r="3" spans="2:14" ht="15">
      <c r="B3" s="31"/>
      <c r="C3" s="31"/>
      <c r="D3" s="31"/>
      <c r="E3" s="31"/>
      <c r="F3" s="18"/>
      <c r="G3" s="18"/>
      <c r="J3" s="39"/>
      <c r="K3" s="39"/>
      <c r="L3" s="36"/>
      <c r="M3" s="36"/>
      <c r="N3" s="108"/>
    </row>
    <row r="4" spans="6:14" ht="15">
      <c r="F4" s="325">
        <v>2006</v>
      </c>
      <c r="G4" s="140">
        <v>2005</v>
      </c>
      <c r="H4" s="18"/>
      <c r="I4" s="18"/>
      <c r="J4" s="38" t="s">
        <v>281</v>
      </c>
      <c r="K4" s="40"/>
      <c r="N4" s="88" t="s">
        <v>403</v>
      </c>
    </row>
    <row r="5" spans="2:14" ht="15">
      <c r="B5" s="10"/>
      <c r="F5" s="325" t="s">
        <v>151</v>
      </c>
      <c r="G5" s="140" t="s">
        <v>151</v>
      </c>
      <c r="H5" s="18"/>
      <c r="I5" s="18"/>
      <c r="J5" s="567" t="s">
        <v>320</v>
      </c>
      <c r="K5" s="567"/>
      <c r="L5" s="567"/>
      <c r="M5" s="567"/>
      <c r="N5" s="567"/>
    </row>
    <row r="6" spans="2:14" ht="15">
      <c r="B6" s="10" t="s">
        <v>284</v>
      </c>
      <c r="F6" s="118"/>
      <c r="G6" s="118"/>
      <c r="H6" s="119"/>
      <c r="I6" s="18"/>
      <c r="J6" s="43"/>
      <c r="K6" s="43"/>
      <c r="L6" s="43"/>
      <c r="M6" s="43"/>
      <c r="N6" s="43"/>
    </row>
    <row r="7" spans="2:14" ht="15">
      <c r="B7" s="10"/>
      <c r="F7" s="120"/>
      <c r="G7" s="118"/>
      <c r="H7" s="18"/>
      <c r="I7" s="18"/>
      <c r="J7" s="39"/>
      <c r="K7" s="108"/>
      <c r="L7" s="108"/>
      <c r="M7" s="108"/>
      <c r="N7" s="108"/>
    </row>
    <row r="8" spans="2:14" ht="15">
      <c r="B8" s="9" t="s">
        <v>138</v>
      </c>
      <c r="F8" s="186">
        <v>75.18</v>
      </c>
      <c r="G8" s="187">
        <v>75.18</v>
      </c>
      <c r="H8" s="119" t="s">
        <v>580</v>
      </c>
      <c r="I8" s="18"/>
      <c r="J8" s="209">
        <v>1100807</v>
      </c>
      <c r="K8" s="43"/>
      <c r="L8" s="43"/>
      <c r="M8" s="43"/>
      <c r="N8" s="231">
        <v>1100807</v>
      </c>
    </row>
    <row r="9" spans="2:14" ht="15">
      <c r="B9" s="9" t="s">
        <v>305</v>
      </c>
      <c r="F9" s="186">
        <v>44.48</v>
      </c>
      <c r="G9" s="187">
        <v>48.69</v>
      </c>
      <c r="H9" s="119" t="s">
        <v>581</v>
      </c>
      <c r="I9" s="18"/>
      <c r="J9" s="209">
        <v>13516359</v>
      </c>
      <c r="K9" s="43"/>
      <c r="L9" s="43"/>
      <c r="M9" s="43"/>
      <c r="N9" s="231">
        <v>14791674</v>
      </c>
    </row>
    <row r="10" spans="2:14" ht="15">
      <c r="B10" s="9" t="s">
        <v>329</v>
      </c>
      <c r="F10" s="186">
        <v>10.26</v>
      </c>
      <c r="G10" s="416">
        <v>10.26</v>
      </c>
      <c r="H10" s="119" t="s">
        <v>582</v>
      </c>
      <c r="I10" s="18"/>
      <c r="J10" s="232">
        <v>350638</v>
      </c>
      <c r="K10" s="43"/>
      <c r="L10" s="43"/>
      <c r="M10" s="43"/>
      <c r="N10" s="233">
        <v>350638</v>
      </c>
    </row>
    <row r="11" spans="6:14" ht="15">
      <c r="F11" s="186"/>
      <c r="G11" s="187"/>
      <c r="H11" s="119"/>
      <c r="I11" s="18"/>
      <c r="J11" s="209">
        <f>SUM(J8:J10)</f>
        <v>14967804</v>
      </c>
      <c r="K11" s="43"/>
      <c r="L11" s="43"/>
      <c r="M11" s="43"/>
      <c r="N11" s="231">
        <f>SUM(N8:N10)</f>
        <v>16243119</v>
      </c>
    </row>
    <row r="12" spans="2:18" ht="15">
      <c r="B12" s="10"/>
      <c r="C12" s="28"/>
      <c r="F12" s="188"/>
      <c r="G12" s="189"/>
      <c r="H12" s="26"/>
      <c r="I12" s="26"/>
      <c r="J12" s="209"/>
      <c r="K12" s="43"/>
      <c r="L12" s="43"/>
      <c r="M12" s="43"/>
      <c r="N12" s="322"/>
      <c r="R12" s="48"/>
    </row>
    <row r="13" spans="2:14" ht="15">
      <c r="B13" s="10" t="s">
        <v>285</v>
      </c>
      <c r="F13" s="190"/>
      <c r="G13" s="191"/>
      <c r="H13" s="15"/>
      <c r="I13" s="15"/>
      <c r="J13" s="209"/>
      <c r="K13" s="43"/>
      <c r="L13" s="43"/>
      <c r="M13" s="43"/>
      <c r="N13" s="231"/>
    </row>
    <row r="14" spans="2:14" ht="15">
      <c r="B14" s="10"/>
      <c r="F14" s="192"/>
      <c r="G14" s="193"/>
      <c r="H14" s="18"/>
      <c r="I14" s="18"/>
      <c r="J14" s="209"/>
      <c r="K14" s="43"/>
      <c r="L14" s="43"/>
      <c r="M14" s="43"/>
      <c r="N14" s="231"/>
    </row>
    <row r="15" spans="2:18" ht="15">
      <c r="B15" s="9" t="s">
        <v>140</v>
      </c>
      <c r="F15" s="194">
        <v>48.05</v>
      </c>
      <c r="G15" s="187">
        <v>60.55</v>
      </c>
      <c r="H15" s="119" t="s">
        <v>583</v>
      </c>
      <c r="I15" s="121"/>
      <c r="J15" s="437">
        <v>9695153</v>
      </c>
      <c r="K15" s="249"/>
      <c r="L15" s="43"/>
      <c r="M15" s="250"/>
      <c r="N15" s="438">
        <v>12217465</v>
      </c>
      <c r="O15" s="378"/>
      <c r="R15" s="14"/>
    </row>
    <row r="16" spans="2:18" ht="15">
      <c r="B16" s="9" t="s">
        <v>193</v>
      </c>
      <c r="F16" s="90">
        <v>75</v>
      </c>
      <c r="G16" s="473">
        <v>75</v>
      </c>
      <c r="H16" s="119"/>
      <c r="I16" s="123"/>
      <c r="J16" s="209">
        <v>150000</v>
      </c>
      <c r="K16" s="252"/>
      <c r="L16" s="43"/>
      <c r="M16" s="253"/>
      <c r="N16" s="231">
        <v>150000</v>
      </c>
      <c r="O16" s="379"/>
      <c r="R16" s="46"/>
    </row>
    <row r="17" spans="2:18" ht="15">
      <c r="B17" s="9" t="s">
        <v>141</v>
      </c>
      <c r="F17" s="186">
        <v>65.81</v>
      </c>
      <c r="G17" s="187">
        <v>65.81</v>
      </c>
      <c r="H17" s="18"/>
      <c r="I17" s="123"/>
      <c r="J17" s="232">
        <v>102000</v>
      </c>
      <c r="K17" s="252"/>
      <c r="L17" s="43"/>
      <c r="M17" s="253"/>
      <c r="N17" s="233">
        <v>102000</v>
      </c>
      <c r="O17" s="379"/>
      <c r="R17" s="158"/>
    </row>
    <row r="18" spans="2:18" ht="15">
      <c r="B18" s="31"/>
      <c r="C18" s="28"/>
      <c r="G18" s="18"/>
      <c r="H18" s="18"/>
      <c r="I18" s="123"/>
      <c r="J18" s="209">
        <f>SUM(J15:J17)</f>
        <v>9947153</v>
      </c>
      <c r="K18" s="252"/>
      <c r="L18" s="43"/>
      <c r="M18" s="253"/>
      <c r="N18" s="231">
        <f>SUM(N15:N17)</f>
        <v>12469465</v>
      </c>
      <c r="O18" s="379"/>
      <c r="R18" s="158"/>
    </row>
    <row r="19" spans="2:18" ht="15">
      <c r="B19" s="9" t="s">
        <v>716</v>
      </c>
      <c r="G19" s="18"/>
      <c r="H19" s="18"/>
      <c r="I19" s="123"/>
      <c r="J19" s="209"/>
      <c r="K19" s="252"/>
      <c r="L19" s="43"/>
      <c r="M19" s="253"/>
      <c r="N19" s="231"/>
      <c r="O19" s="379"/>
      <c r="R19" s="158"/>
    </row>
    <row r="20" spans="2:15" ht="15">
      <c r="B20" s="9" t="s">
        <v>545</v>
      </c>
      <c r="G20" s="125"/>
      <c r="H20" s="119"/>
      <c r="I20" s="126"/>
      <c r="J20" s="232">
        <v>1629706</v>
      </c>
      <c r="K20" s="254"/>
      <c r="L20" s="43"/>
      <c r="M20" s="255"/>
      <c r="N20" s="233">
        <v>1629706</v>
      </c>
      <c r="O20" s="380"/>
    </row>
    <row r="21" spans="2:14" ht="15">
      <c r="B21" s="31"/>
      <c r="G21" s="18"/>
      <c r="H21" s="18"/>
      <c r="I21" s="18"/>
      <c r="J21" s="209">
        <f>SUM(J18:J20)</f>
        <v>11576859</v>
      </c>
      <c r="K21" s="43"/>
      <c r="L21" s="43"/>
      <c r="M21" s="43"/>
      <c r="N21" s="231">
        <f>SUM(N18:N20)</f>
        <v>14099171</v>
      </c>
    </row>
    <row r="22" spans="2:14" ht="15.75" thickBot="1">
      <c r="B22" s="31"/>
      <c r="G22" s="18"/>
      <c r="H22" s="18"/>
      <c r="I22" s="18"/>
      <c r="J22" s="213">
        <f>J11+J21</f>
        <v>26544663</v>
      </c>
      <c r="K22" s="43"/>
      <c r="L22" s="43"/>
      <c r="M22" s="43"/>
      <c r="N22" s="236">
        <f>N11+N21</f>
        <v>30342290</v>
      </c>
    </row>
    <row r="23" spans="2:14" ht="15.75" thickTop="1">
      <c r="B23" s="31"/>
      <c r="G23" s="18"/>
      <c r="H23" s="18"/>
      <c r="I23" s="18"/>
      <c r="J23" s="43"/>
      <c r="K23" s="43"/>
      <c r="L23" s="43"/>
      <c r="M23" s="43"/>
      <c r="N23" s="43"/>
    </row>
    <row r="24" spans="1:14" ht="15">
      <c r="A24" s="112" t="s">
        <v>579</v>
      </c>
      <c r="B24" s="104" t="s">
        <v>643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2:14" ht="15">
      <c r="B25" s="104" t="s">
        <v>661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2:14" ht="15" customHeight="1">
      <c r="B26" s="302" t="s">
        <v>662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2:14" ht="15" customHeight="1">
      <c r="B27" s="302" t="s">
        <v>663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2:14" ht="15" customHeight="1">
      <c r="B28" s="104" t="s">
        <v>664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2:14" ht="15" customHeight="1">
      <c r="B29" s="104" t="s">
        <v>665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2:14" ht="15" customHeight="1">
      <c r="B30" s="104"/>
      <c r="C30" s="63"/>
      <c r="D30" s="63"/>
      <c r="E30" s="63"/>
      <c r="F30" s="63"/>
      <c r="G30" s="63"/>
      <c r="H30" s="63"/>
      <c r="I30" s="63"/>
      <c r="J30" s="246"/>
      <c r="K30" s="246"/>
      <c r="L30" s="246"/>
      <c r="M30" s="246"/>
      <c r="N30" s="246"/>
    </row>
    <row r="31" spans="1:18" ht="15" customHeight="1">
      <c r="A31" s="112" t="s">
        <v>580</v>
      </c>
      <c r="B31" s="302" t="s">
        <v>666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R31" s="46"/>
    </row>
    <row r="32" spans="2:18" ht="15" customHeight="1">
      <c r="B32" s="302" t="s">
        <v>339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R32" s="46">
        <v>67.5</v>
      </c>
    </row>
    <row r="33" spans="2:18" ht="15" customHeight="1"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R33" s="46"/>
    </row>
    <row r="34" spans="1:18" ht="15" customHeight="1">
      <c r="A34" s="112" t="s">
        <v>581</v>
      </c>
      <c r="B34" s="302" t="s">
        <v>670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R34" s="46"/>
    </row>
    <row r="35" spans="2:18" ht="15" customHeight="1">
      <c r="B35" s="302" t="s">
        <v>429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R35" s="14" t="e">
        <f>R32*#REF!</f>
        <v>#REF!</v>
      </c>
    </row>
    <row r="36" spans="2:18" ht="15" customHeight="1"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R36" s="14"/>
    </row>
    <row r="37" spans="1:18" ht="15" customHeight="1">
      <c r="A37" s="112" t="s">
        <v>582</v>
      </c>
      <c r="B37" s="302" t="s">
        <v>399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R37" s="14"/>
    </row>
    <row r="38" spans="2:18" ht="15" customHeight="1">
      <c r="B38" s="302" t="s">
        <v>671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R38" s="14"/>
    </row>
    <row r="39" spans="2:18" ht="15" customHeight="1"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R39" s="14"/>
    </row>
    <row r="40" spans="1:18" ht="15" customHeight="1">
      <c r="A40" s="139" t="s">
        <v>584</v>
      </c>
      <c r="B40" s="302" t="s">
        <v>672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R40" s="14"/>
    </row>
    <row r="41" spans="2:18" ht="15" customHeight="1">
      <c r="B41" s="302" t="s">
        <v>673</v>
      </c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R41" s="14"/>
    </row>
    <row r="42" spans="2:18" ht="15" customHeight="1">
      <c r="B42" s="302" t="s">
        <v>674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R42" s="14"/>
    </row>
    <row r="43" spans="2:18" ht="15" customHeight="1">
      <c r="B43" s="302" t="s">
        <v>676</v>
      </c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R43" s="14"/>
    </row>
    <row r="44" spans="2:18" ht="15" customHeight="1">
      <c r="B44" s="302" t="s">
        <v>430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R44" s="14"/>
    </row>
    <row r="45" spans="2:18" ht="15" customHeight="1">
      <c r="B45" s="302" t="s">
        <v>675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R45" s="14"/>
    </row>
    <row r="46" spans="2:18" ht="15" customHeight="1">
      <c r="B46" s="302" t="s">
        <v>132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R46" s="14"/>
    </row>
    <row r="47" spans="2:14" ht="1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ht="15">
      <c r="A48" s="112" t="s">
        <v>585</v>
      </c>
      <c r="B48" s="104" t="s">
        <v>340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2:14" ht="15">
      <c r="B49" s="104" t="s">
        <v>431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2:14" ht="15">
      <c r="B50" s="9" t="s">
        <v>341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3:14" ht="15"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1:14" ht="15" customHeight="1">
      <c r="A52" s="9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ht="15" customHeight="1">
      <c r="A53" s="9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4" ht="15" customHeight="1">
      <c r="A54" s="9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 ht="15" customHeight="1">
      <c r="A55" s="9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ht="15">
      <c r="A56" s="9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ht="15" customHeight="1">
      <c r="A57" s="9"/>
    </row>
    <row r="60" ht="15" customHeight="1"/>
    <row r="63" ht="4.5" customHeight="1" hidden="1"/>
    <row r="64" ht="15" customHeight="1" hidden="1"/>
    <row r="67" ht="15" customHeight="1"/>
    <row r="68" ht="14.25" customHeight="1"/>
    <row r="69" ht="12.75" customHeight="1" hidden="1"/>
    <row r="71" ht="15" customHeight="1"/>
    <row r="72" spans="10:14" ht="12" customHeight="1">
      <c r="J72" s="107"/>
      <c r="K72" s="107"/>
      <c r="L72" s="59"/>
      <c r="M72" s="59"/>
      <c r="N72" s="59"/>
    </row>
    <row r="73" ht="14.25" customHeight="1"/>
    <row r="79" ht="15">
      <c r="B79" s="28"/>
    </row>
    <row r="92" ht="15" customHeight="1"/>
    <row r="95" ht="15" hidden="1"/>
  </sheetData>
  <mergeCells count="1">
    <mergeCell ref="J5:N5"/>
  </mergeCells>
  <printOptions/>
  <pageMargins left="0.75" right="0.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Taseer Hadi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aijaz shaikh</cp:lastModifiedBy>
  <cp:lastPrinted>2006-11-22T07:14:41Z</cp:lastPrinted>
  <dcterms:created xsi:type="dcterms:W3CDTF">2001-01-12T16:58:23Z</dcterms:created>
  <dcterms:modified xsi:type="dcterms:W3CDTF">2006-11-22T08:34:41Z</dcterms:modified>
  <cp:category/>
  <cp:version/>
  <cp:contentType/>
  <cp:contentStatus/>
</cp:coreProperties>
</file>