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4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65401" windowWidth="12120" windowHeight="9120" firstSheet="3" activeTab="3"/>
  </bookViews>
  <sheets>
    <sheet name="Chart2" sheetId="1" state="hidden" r:id="rId1"/>
    <sheet name="Chart1" sheetId="2" state="hidden" r:id="rId2"/>
    <sheet name="Capital_Acct" sheetId="3" state="hidden" r:id="rId3"/>
    <sheet name="Capital_Acc" sheetId="4" r:id="rId4"/>
    <sheet name="Financail_Acct" sheetId="5" state="hidden" r:id="rId5"/>
    <sheet name="Sheet1" sheetId="6" state="hidden" r:id="rId6"/>
    <sheet name="Sheet2" sheetId="7" state="hidden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3">'Capital_Acc'!$A$1:$M$48</definedName>
    <definedName name="_xlnm.Print_Area" localSheetId="2">'Capital_Acct'!$B$1:$Z$47</definedName>
  </definedNames>
  <calcPr fullCalcOnLoad="1"/>
</workbook>
</file>

<file path=xl/comments3.xml><?xml version="1.0" encoding="utf-8"?>
<comments xmlns="http://schemas.openxmlformats.org/spreadsheetml/2006/main">
  <authors>
    <author>muhammad naeem</author>
  </authors>
  <commentList>
    <comment ref="AE14" authorId="0">
      <text>
        <r>
          <rPr>
            <b/>
            <sz val="10"/>
            <rFont val="Tahoma"/>
            <family val="2"/>
          </rPr>
          <t>muhammad naeem:</t>
        </r>
        <r>
          <rPr>
            <sz val="10"/>
            <rFont val="Tahoma"/>
            <family val="2"/>
          </rPr>
          <t xml:space="preserve">
househloding saving include all saving of hh includng saving schemes &amp; deposits which are already covered in F.acct therefore need to subtract it from hh saving</t>
        </r>
      </text>
    </comment>
    <comment ref="AE13" authorId="0">
      <text>
        <r>
          <rPr>
            <b/>
            <sz val="10"/>
            <rFont val="Tahoma"/>
            <family val="2"/>
          </rPr>
          <t>muhammad naeem:</t>
        </r>
        <r>
          <rPr>
            <sz val="10"/>
            <rFont val="Tahoma"/>
            <family val="2"/>
          </rPr>
          <t xml:space="preserve">
sbp report from research</t>
        </r>
      </text>
    </comment>
  </commentList>
</comments>
</file>

<file path=xl/comments4.xml><?xml version="1.0" encoding="utf-8"?>
<comments xmlns="http://schemas.openxmlformats.org/spreadsheetml/2006/main">
  <authors>
    <author>muhammad naeem</author>
  </authors>
  <commentList>
    <comment ref="R14" authorId="0">
      <text>
        <r>
          <rPr>
            <b/>
            <sz val="10"/>
            <rFont val="Tahoma"/>
            <family val="2"/>
          </rPr>
          <t>muhammad naeem:</t>
        </r>
        <r>
          <rPr>
            <sz val="10"/>
            <rFont val="Tahoma"/>
            <family val="2"/>
          </rPr>
          <t xml:space="preserve">
sbp report from research</t>
        </r>
      </text>
    </comment>
    <comment ref="R15" authorId="0">
      <text>
        <r>
          <rPr>
            <b/>
            <sz val="10"/>
            <rFont val="Tahoma"/>
            <family val="2"/>
          </rPr>
          <t>muhammad naeem:</t>
        </r>
        <r>
          <rPr>
            <sz val="10"/>
            <rFont val="Tahoma"/>
            <family val="2"/>
          </rPr>
          <t xml:space="preserve">
househloding saving include all saving of hh includng saving schemes &amp; deposits which are already covered in F.acct therefore need to subtract it from hh saving</t>
        </r>
      </text>
    </comment>
  </commentList>
</comments>
</file>

<file path=xl/sharedStrings.xml><?xml version="1.0" encoding="utf-8"?>
<sst xmlns="http://schemas.openxmlformats.org/spreadsheetml/2006/main" count="374" uniqueCount="215">
  <si>
    <t xml:space="preserve"> Other accounts receivable/payable</t>
  </si>
  <si>
    <t>Net lending( + )/net borrowing( - )</t>
  </si>
  <si>
    <t>Saving, Gross</t>
  </si>
  <si>
    <t>Retain earning</t>
  </si>
  <si>
    <t xml:space="preserve">General &amp; Special Reserve </t>
  </si>
  <si>
    <t xml:space="preserve">Gross fixed capital formation </t>
  </si>
  <si>
    <t xml:space="preserve">Acquisitions less disposals of tangible fixed assets </t>
  </si>
  <si>
    <t xml:space="preserve">Acquisitions of new tangible fixed assets </t>
  </si>
  <si>
    <t xml:space="preserve">Acquisitions of existing tangible fixed assets </t>
  </si>
  <si>
    <t xml:space="preserve">Disposals of existing tangible fixed assets  </t>
  </si>
  <si>
    <t xml:space="preserve">Acquisitions less disposals of intangible fixed assets </t>
  </si>
  <si>
    <t xml:space="preserve">Acquisitions of new intangible fixed assets </t>
  </si>
  <si>
    <t xml:space="preserve">Acquisitions of existing intangible fixed assets </t>
  </si>
  <si>
    <t xml:space="preserve">Disposals of existing intangible fixed assets  </t>
  </si>
  <si>
    <t xml:space="preserve">Additions to the value of non-produced non-financial assets </t>
  </si>
  <si>
    <t xml:space="preserve">Major improvements to non-produced non-financial assets </t>
  </si>
  <si>
    <t xml:space="preserve">Costs of ownership transfer on non-produced non-financial assets </t>
  </si>
  <si>
    <t xml:space="preserve">Consumption of fixed capital  </t>
  </si>
  <si>
    <t xml:space="preserve">Changes in inventories </t>
  </si>
  <si>
    <t xml:space="preserve">Acquisitions less disposals of valuables </t>
  </si>
  <si>
    <t xml:space="preserve">Acquisitions less disposals of non-produced  non-financial assets   </t>
  </si>
  <si>
    <t>Acquisitions less disposals of land and other tangible non-produced assets</t>
  </si>
  <si>
    <t xml:space="preserve">Acquisitions less disposals of intangible non-produced assets </t>
  </si>
  <si>
    <t xml:space="preserve">Capital transfers, receivable </t>
  </si>
  <si>
    <t xml:space="preserve">Capital taxes </t>
  </si>
  <si>
    <t xml:space="preserve">Investment grants </t>
  </si>
  <si>
    <t xml:space="preserve">Other capital transfers </t>
  </si>
  <si>
    <t xml:space="preserve">Capital transfers, payable  </t>
  </si>
  <si>
    <t xml:space="preserve"> Capital taxes, payable  </t>
  </si>
  <si>
    <t xml:space="preserve"> Investment grants, payable  </t>
  </si>
  <si>
    <t xml:space="preserve"> Other capital transfers, payable  </t>
  </si>
  <si>
    <t>Change in Liabilities</t>
  </si>
  <si>
    <t xml:space="preserve">
Rest of The World</t>
  </si>
  <si>
    <t xml:space="preserve">
Private </t>
  </si>
  <si>
    <t xml:space="preserve">Change in assets </t>
  </si>
  <si>
    <t>Financial sector</t>
  </si>
  <si>
    <t>Non-financial sector</t>
  </si>
  <si>
    <t>Govt Sector</t>
  </si>
  <si>
    <t xml:space="preserve">
Total</t>
  </si>
  <si>
    <t>Other Deposit accepting institution</t>
  </si>
  <si>
    <t>Deposit Money Institution</t>
  </si>
  <si>
    <t>Change in Assets</t>
  </si>
  <si>
    <t xml:space="preserve">Transaction and 
Balancing Items
</t>
  </si>
  <si>
    <t>Acquisitions less disposals of Fixed Assets</t>
  </si>
  <si>
    <t>Change In Liabilities</t>
  </si>
  <si>
    <t>Millions Rs</t>
  </si>
  <si>
    <t xml:space="preserve">Current external balance </t>
  </si>
  <si>
    <t xml:space="preserve">Net lending (+) / net borrowing (–) </t>
  </si>
  <si>
    <t xml:space="preserve">Changes in net worth due to saving and capital transfers </t>
  </si>
  <si>
    <t>Non Depository 
institution</t>
  </si>
  <si>
    <r>
      <t xml:space="preserve">1 Changes in net worth due to saving </t>
    </r>
    <r>
      <rPr>
        <b/>
        <sz val="9"/>
        <color indexed="8"/>
        <rFont val="Arial"/>
        <family val="2"/>
      </rPr>
      <t>and capital transfers  = Net saving + capital transfer( receiable-payable)</t>
    </r>
  </si>
  <si>
    <t xml:space="preserve"> Net Saving</t>
  </si>
  <si>
    <t>House hold saving</t>
  </si>
  <si>
    <t>securities(saving schemes)</t>
  </si>
  <si>
    <t>Deposits</t>
  </si>
  <si>
    <t>HH saving for capital aact</t>
  </si>
  <si>
    <t>Insurance</t>
  </si>
  <si>
    <t>NIC</t>
  </si>
  <si>
    <t>State Life</t>
  </si>
  <si>
    <t>flow</t>
  </si>
  <si>
    <t>Banks</t>
  </si>
  <si>
    <t>Khaber</t>
  </si>
  <si>
    <t>punjab</t>
  </si>
  <si>
    <t>NBP</t>
  </si>
  <si>
    <t>HB</t>
  </si>
  <si>
    <t>ABL</t>
  </si>
  <si>
    <t>NBFC</t>
  </si>
  <si>
    <t>PICIC</t>
  </si>
  <si>
    <t>NIT</t>
  </si>
  <si>
    <t>FWB</t>
  </si>
  <si>
    <t>SMEBank</t>
  </si>
  <si>
    <t>HBFC</t>
  </si>
  <si>
    <t>Statistical Discrepency</t>
  </si>
  <si>
    <t>Detailed Flow of Funds Accounts Net lending(+)/Net borrowing(-)</t>
  </si>
  <si>
    <t>Detailed FOFA Net lending(+)/Net borrowing(-)</t>
  </si>
  <si>
    <t>Financial Account of Pakistan
2006-2007</t>
  </si>
  <si>
    <t xml:space="preserve">Exchange Companies </t>
  </si>
  <si>
    <t>Insurance Companies</t>
  </si>
  <si>
    <t xml:space="preserve">
Private</t>
  </si>
  <si>
    <t>Central Bank</t>
  </si>
  <si>
    <t>Public Sector Institutions</t>
  </si>
  <si>
    <t xml:space="preserve">Public Sector </t>
  </si>
  <si>
    <t xml:space="preserve">
Federal NPIs</t>
  </si>
  <si>
    <t xml:space="preserve">
Provincial NPIs</t>
  </si>
  <si>
    <t>House Hold</t>
  </si>
  <si>
    <t>Provincial Govt</t>
  </si>
  <si>
    <t>Federal Govt</t>
  </si>
  <si>
    <t>Provincial 
Govt</t>
  </si>
  <si>
    <r>
      <t xml:space="preserve"> </t>
    </r>
    <r>
      <rPr>
        <b/>
        <sz val="12"/>
        <color indexed="8"/>
        <rFont val="Arial"/>
        <family val="2"/>
      </rPr>
      <t>Net acquisition of financial assets</t>
    </r>
  </si>
  <si>
    <r>
      <t xml:space="preserve"> </t>
    </r>
    <r>
      <rPr>
        <b/>
        <sz val="12"/>
        <color indexed="8"/>
        <rFont val="Arial"/>
        <family val="2"/>
      </rPr>
      <t>Net incurrence of liabilities</t>
    </r>
    <r>
      <rPr>
        <b/>
        <sz val="12"/>
        <rFont val="Arial"/>
        <family val="2"/>
      </rPr>
      <t xml:space="preserve"> </t>
    </r>
  </si>
  <si>
    <r>
      <t xml:space="preserve"> </t>
    </r>
    <r>
      <rPr>
        <b/>
        <sz val="12"/>
        <color indexed="8"/>
        <rFont val="Arial"/>
        <family val="2"/>
      </rPr>
      <t>Monetary gold and SDRs</t>
    </r>
    <r>
      <rPr>
        <b/>
        <sz val="12"/>
        <rFont val="Arial"/>
        <family val="2"/>
      </rPr>
      <t xml:space="preserve"> </t>
    </r>
  </si>
  <si>
    <r>
      <t xml:space="preserve"> </t>
    </r>
    <r>
      <rPr>
        <b/>
        <sz val="12"/>
        <color indexed="8"/>
        <rFont val="Arial"/>
        <family val="2"/>
      </rPr>
      <t xml:space="preserve">Currency and deposits </t>
    </r>
  </si>
  <si>
    <r>
      <t xml:space="preserve"> </t>
    </r>
    <r>
      <rPr>
        <sz val="12"/>
        <color indexed="8"/>
        <rFont val="Arial"/>
        <family val="2"/>
      </rPr>
      <t>Currency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</si>
  <si>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>Transferable deposits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</si>
  <si>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>Other deposits</t>
    </r>
    <r>
      <rPr>
        <sz val="12"/>
        <rFont val="Arial"/>
        <family val="2"/>
      </rPr>
      <t xml:space="preserve"> </t>
    </r>
  </si>
  <si>
    <r>
      <t xml:space="preserve"> </t>
    </r>
    <r>
      <rPr>
        <b/>
        <sz val="12"/>
        <color indexed="8"/>
        <rFont val="Arial"/>
        <family val="2"/>
      </rPr>
      <t>Securities other than shares</t>
    </r>
    <r>
      <rPr>
        <b/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</si>
  <si>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>Short-term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</si>
  <si>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>Long-term</t>
    </r>
    <r>
      <rPr>
        <sz val="12"/>
        <rFont val="Arial"/>
        <family val="2"/>
      </rPr>
      <t xml:space="preserve"> </t>
    </r>
  </si>
  <si>
    <r>
      <t xml:space="preserve"> </t>
    </r>
    <r>
      <rPr>
        <b/>
        <sz val="12"/>
        <color indexed="8"/>
        <rFont val="Arial"/>
        <family val="2"/>
      </rPr>
      <t xml:space="preserve">Loans </t>
    </r>
  </si>
  <si>
    <r>
      <t xml:space="preserve"> </t>
    </r>
    <r>
      <rPr>
        <b/>
        <sz val="12"/>
        <color indexed="8"/>
        <rFont val="Arial"/>
        <family val="2"/>
      </rPr>
      <t xml:space="preserve">Shares and other equity </t>
    </r>
  </si>
  <si>
    <r>
      <t xml:space="preserve">  </t>
    </r>
    <r>
      <rPr>
        <b/>
        <sz val="12"/>
        <rFont val="TimesNewRoman,Bold"/>
        <family val="0"/>
      </rPr>
      <t>Financial derivatives</t>
    </r>
  </si>
  <si>
    <r>
      <t xml:space="preserve"> </t>
    </r>
    <r>
      <rPr>
        <b/>
        <sz val="12"/>
        <color indexed="8"/>
        <rFont val="Arial"/>
        <family val="2"/>
      </rPr>
      <t>Insurance technical reserves</t>
    </r>
    <r>
      <rPr>
        <b/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</si>
  <si>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>Net equity of households on 
  life insurance</t>
    </r>
    <r>
      <rPr>
        <sz val="12"/>
        <rFont val="Arial"/>
        <family val="2"/>
      </rPr>
      <t xml:space="preserve">  reserves and in pension funds </t>
    </r>
  </si>
  <si>
    <r>
      <t xml:space="preserve"> </t>
    </r>
    <r>
      <rPr>
        <sz val="12"/>
        <color indexed="8"/>
        <rFont val="Arial"/>
        <family val="2"/>
      </rPr>
      <t xml:space="preserve">Net equity of households 
  in life insurance reserves </t>
    </r>
    <r>
      <rPr>
        <sz val="12"/>
        <rFont val="Arial"/>
        <family val="2"/>
      </rPr>
      <t xml:space="preserve"> </t>
    </r>
  </si>
  <si>
    <r>
      <t xml:space="preserve">Net equity of households 
 </t>
    </r>
    <r>
      <rPr>
        <sz val="12"/>
        <rFont val="Arial"/>
        <family val="2"/>
      </rPr>
      <t xml:space="preserve">in pension funds </t>
    </r>
  </si>
  <si>
    <r>
      <t xml:space="preserve"> </t>
    </r>
    <r>
      <rPr>
        <sz val="12"/>
        <color indexed="8"/>
        <rFont val="Arial"/>
        <family val="2"/>
      </rPr>
      <t>Prepayment of premiums and 
  reserves against outstanding claims</t>
    </r>
    <r>
      <rPr>
        <sz val="12"/>
        <rFont val="Arial"/>
        <family val="2"/>
      </rPr>
      <t xml:space="preserve"> </t>
    </r>
  </si>
  <si>
    <r>
      <t xml:space="preserve"> </t>
    </r>
    <r>
      <rPr>
        <b/>
        <sz val="12"/>
        <color indexed="8"/>
        <rFont val="Arial"/>
        <family val="2"/>
      </rPr>
      <t xml:space="preserve">Other accounts receivable/payable </t>
    </r>
  </si>
  <si>
    <r>
      <t xml:space="preserve"> </t>
    </r>
    <r>
      <rPr>
        <sz val="12"/>
        <color indexed="8"/>
        <rFont val="Arial"/>
        <family val="2"/>
      </rPr>
      <t>Trade credits and advances</t>
    </r>
    <r>
      <rPr>
        <sz val="12"/>
        <rFont val="Arial"/>
        <family val="2"/>
      </rPr>
      <t xml:space="preserve"> </t>
    </r>
  </si>
  <si>
    <t xml:space="preserve">Capital Account of Pakistan
</t>
  </si>
  <si>
    <t>2007-08</t>
  </si>
  <si>
    <t>1) Deposits Money Institutions</t>
  </si>
  <si>
    <t>2) Other depository corporations</t>
  </si>
  <si>
    <t>3) Other financial corporations Intermidaries</t>
  </si>
  <si>
    <t>4) Insurance Companies</t>
  </si>
  <si>
    <t>5) Central Bank</t>
  </si>
  <si>
    <t>6) Private Corporate institutions</t>
  </si>
  <si>
    <t>7) Public non-financial corporations</t>
  </si>
  <si>
    <t>8)  Provincial Govt (incld Prov NPIs)</t>
  </si>
  <si>
    <t>9)  Federal Govt (incld Fed NPIs)</t>
  </si>
  <si>
    <t>10) Other Resident Sector</t>
  </si>
  <si>
    <t>11) Nonresidents</t>
  </si>
  <si>
    <t xml:space="preserve"> Institutions</t>
  </si>
  <si>
    <t>corporations</t>
  </si>
  <si>
    <t>Intermidaries</t>
  </si>
  <si>
    <t xml:space="preserve"> Insurance </t>
  </si>
  <si>
    <t>Companies</t>
  </si>
  <si>
    <t>institutions</t>
  </si>
  <si>
    <t xml:space="preserve"> corporations</t>
  </si>
  <si>
    <t>Sector</t>
  </si>
  <si>
    <t>the world</t>
  </si>
  <si>
    <t>Central</t>
  </si>
  <si>
    <t>Bank</t>
  </si>
  <si>
    <t xml:space="preserve">Money </t>
  </si>
  <si>
    <t xml:space="preserve">Deposits </t>
  </si>
  <si>
    <t xml:space="preserve"> depository </t>
  </si>
  <si>
    <t xml:space="preserve"> Other</t>
  </si>
  <si>
    <t>financial</t>
  </si>
  <si>
    <t xml:space="preserve">Other </t>
  </si>
  <si>
    <t xml:space="preserve"> non financial</t>
  </si>
  <si>
    <t>Private</t>
  </si>
  <si>
    <t xml:space="preserve"> non-financial</t>
  </si>
  <si>
    <t>Public</t>
  </si>
  <si>
    <t>Provincial</t>
  </si>
  <si>
    <t xml:space="preserve">Govt( (incld </t>
  </si>
  <si>
    <t>Prov NPIs)</t>
  </si>
  <si>
    <t>Federal</t>
  </si>
  <si>
    <t>Fed NPIs)</t>
  </si>
  <si>
    <t>Resident</t>
  </si>
  <si>
    <t>Rest</t>
  </si>
  <si>
    <t xml:space="preserve"> of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</si>
  <si>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</si>
  <si>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</si>
  <si>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</si>
  <si>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</si>
  <si>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</si>
  <si>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</si>
  <si>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</si>
  <si>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</si>
  <si>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</si>
  <si>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</si>
  <si>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</si>
  <si>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-</t>
  </si>
  <si>
    <t>Total</t>
  </si>
  <si>
    <t>_</t>
  </si>
  <si>
    <t>Non-Financail Sector</t>
  </si>
  <si>
    <t>2 Net lending (+) / net borrowing (–)  = net worth-((GFCF+changes in inventories+acquisition less disposals of valuables+Acquisitions less disposals of non-produced  non-financial assets)-consumption of Fixed assets)</t>
  </si>
  <si>
    <t>Transaction and Balancing Items</t>
  </si>
  <si>
    <t>R.no</t>
  </si>
  <si>
    <t xml:space="preserve"> Net Saving (1 less 4)</t>
  </si>
  <si>
    <t>Saving, Gross ( 2 plus 3)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</si>
  <si>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</si>
  <si>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</si>
  <si>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</si>
  <si>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</si>
  <si>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</si>
  <si>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</si>
  <si>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</si>
  <si>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</si>
  <si>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</si>
  <si>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</si>
  <si>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</si>
  <si>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</si>
  <si>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</si>
  <si>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</si>
  <si>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</si>
  <si>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</si>
  <si>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</si>
  <si>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</si>
  <si>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</si>
  <si>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</si>
  <si>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</si>
  <si>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</si>
  <si>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</si>
  <si>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</si>
  <si>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</si>
  <si>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</si>
  <si>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</si>
  <si>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</si>
  <si>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</si>
  <si>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</si>
  <si>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</si>
  <si>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</si>
  <si>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</si>
  <si>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</si>
  <si>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</si>
  <si>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Million Rs</t>
  </si>
  <si>
    <t>General</t>
  </si>
  <si>
    <t>NPIs)</t>
  </si>
  <si>
    <t>Net Surplus (+) / net Defict  (–) (5 plus 25 less 29 less 7)</t>
  </si>
  <si>
    <t xml:space="preserve"> Flow of Funds Accounts Net lending(+)/Net borrowing(-)</t>
  </si>
  <si>
    <t>Institutions</t>
  </si>
  <si>
    <t xml:space="preserve"> deposit Accptng </t>
  </si>
  <si>
    <t>Non-Fin</t>
  </si>
  <si>
    <t>Corportins</t>
  </si>
  <si>
    <t>Publice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</si>
</sst>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\-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h:mm:ss\ AM/PM"/>
    <numFmt numFmtId="179" formatCode="00000"/>
    <numFmt numFmtId="180" formatCode="#,##0.0"/>
    <numFmt numFmtId="181" formatCode="0_);\(0\)"/>
    <numFmt numFmtId="182" formatCode="_(* #,##0.0_);_(* \(#,##0.0\);_(* &quot;-&quot;??_);_(@_)"/>
    <numFmt numFmtId="183" formatCode="_(* #,##0_);_(* \(#,##0\);_(* &quot;-&quot;??_);_(@_)"/>
  </numFmts>
  <fonts count="75">
    <font>
      <sz val="10"/>
      <name val="Arial"/>
      <family val="0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TimesNewRoman,Bold"/>
      <family val="0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u val="single"/>
      <sz val="12"/>
      <color indexed="12"/>
      <name val="Times New Roman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NewRoman,Bold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Times New Roman"/>
      <family val="1"/>
    </font>
    <font>
      <b/>
      <sz val="16"/>
      <color indexed="8"/>
      <name val="Arial"/>
      <family val="2"/>
    </font>
    <font>
      <sz val="9"/>
      <name val="Arial"/>
      <family val="2"/>
    </font>
    <font>
      <b/>
      <sz val="9"/>
      <color indexed="8"/>
      <name val="Book Antiqua"/>
      <family val="1"/>
    </font>
    <font>
      <b/>
      <sz val="14"/>
      <color indexed="8"/>
      <name val="TimesNewRoman,Bold"/>
      <family val="0"/>
    </font>
    <font>
      <b/>
      <sz val="9"/>
      <name val="Arial"/>
      <family val="2"/>
    </font>
    <font>
      <b/>
      <sz val="9"/>
      <name val="TimesNewRoman,Bold"/>
      <family val="0"/>
    </font>
    <font>
      <b/>
      <sz val="16"/>
      <name val="Arial"/>
      <family val="2"/>
    </font>
    <font>
      <b/>
      <i/>
      <sz val="9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name val="Verdan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TimesNewRoman,Bold"/>
      <family val="0"/>
    </font>
    <font>
      <b/>
      <sz val="14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.2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0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3" fontId="2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3" fontId="17" fillId="0" borderId="11" xfId="0" applyNumberFormat="1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 horizontal="right"/>
    </xf>
    <xf numFmtId="3" fontId="17" fillId="0" borderId="11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 horizontal="right"/>
    </xf>
    <xf numFmtId="3" fontId="17" fillId="0" borderId="12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7" fillId="0" borderId="11" xfId="0" applyNumberFormat="1" applyFont="1" applyFill="1" applyBorder="1" applyAlignment="1">
      <alignment/>
    </xf>
    <xf numFmtId="3" fontId="14" fillId="0" borderId="13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 horizontal="right"/>
    </xf>
    <xf numFmtId="181" fontId="7" fillId="0" borderId="0" xfId="44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4" fillId="0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3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3" fontId="0" fillId="0" borderId="0" xfId="0" applyNumberFormat="1" applyFont="1" applyAlignment="1">
      <alignment horizontal="left" indent="1"/>
    </xf>
    <xf numFmtId="0" fontId="0" fillId="0" borderId="0" xfId="0" applyFont="1" applyAlignment="1">
      <alignment horizontal="left" inden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3" fontId="25" fillId="0" borderId="0" xfId="0" applyNumberFormat="1" applyFont="1" applyAlignment="1">
      <alignment horizontal="right" wrapText="1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3" fontId="14" fillId="0" borderId="14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3" fontId="17" fillId="0" borderId="19" xfId="0" applyNumberFormat="1" applyFont="1" applyFill="1" applyBorder="1" applyAlignment="1">
      <alignment horizontal="right"/>
    </xf>
    <xf numFmtId="3" fontId="14" fillId="0" borderId="19" xfId="0" applyNumberFormat="1" applyFont="1" applyFill="1" applyBorder="1" applyAlignment="1">
      <alignment horizontal="right"/>
    </xf>
    <xf numFmtId="3" fontId="14" fillId="0" borderId="22" xfId="0" applyNumberFormat="1" applyFont="1" applyFill="1" applyBorder="1" applyAlignment="1">
      <alignment horizontal="right"/>
    </xf>
    <xf numFmtId="3" fontId="17" fillId="0" borderId="15" xfId="0" applyNumberFormat="1" applyFont="1" applyFill="1" applyBorder="1" applyAlignment="1">
      <alignment horizontal="right"/>
    </xf>
    <xf numFmtId="3" fontId="14" fillId="0" borderId="1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183" fontId="7" fillId="0" borderId="0" xfId="42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top" wrapText="1" indent="5"/>
    </xf>
    <xf numFmtId="3" fontId="2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top" wrapText="1" indent="6"/>
    </xf>
    <xf numFmtId="0" fontId="20" fillId="0" borderId="0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3" fillId="0" borderId="0" xfId="0" applyFont="1" applyFill="1" applyBorder="1" applyAlignment="1">
      <alignment vertical="top" wrapText="1"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8" fillId="0" borderId="25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left" indent="1"/>
    </xf>
    <xf numFmtId="0" fontId="28" fillId="0" borderId="11" xfId="0" applyFont="1" applyFill="1" applyBorder="1" applyAlignment="1">
      <alignment horizontal="left" indent="2"/>
    </xf>
    <xf numFmtId="0" fontId="28" fillId="0" borderId="11" xfId="0" applyFont="1" applyFill="1" applyBorder="1" applyAlignment="1">
      <alignment horizontal="left" wrapText="1" indent="2"/>
    </xf>
    <xf numFmtId="0" fontId="31" fillId="0" borderId="11" xfId="0" applyFont="1" applyFill="1" applyBorder="1" applyAlignment="1">
      <alignment horizontal="left" wrapText="1" indent="2"/>
    </xf>
    <xf numFmtId="0" fontId="26" fillId="0" borderId="13" xfId="0" applyFont="1" applyFill="1" applyBorder="1" applyAlignment="1">
      <alignment/>
    </xf>
    <xf numFmtId="3" fontId="28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indent="2"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right"/>
    </xf>
    <xf numFmtId="3" fontId="34" fillId="33" borderId="0" xfId="0" applyNumberFormat="1" applyFont="1" applyFill="1" applyBorder="1" applyAlignment="1" applyProtection="1">
      <alignment horizontal="left" vertical="top" wrapText="1" indent="4"/>
      <protection hidden="1"/>
    </xf>
    <xf numFmtId="0" fontId="9" fillId="0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/>
    </xf>
    <xf numFmtId="0" fontId="12" fillId="34" borderId="0" xfId="0" applyFont="1" applyFill="1" applyBorder="1" applyAlignment="1">
      <alignment horizontal="left" vertical="top" wrapText="1" indent="6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12" fillId="34" borderId="0" xfId="0" applyFont="1" applyFill="1" applyBorder="1" applyAlignment="1">
      <alignment horizontal="right" vertical="top" wrapText="1"/>
    </xf>
    <xf numFmtId="0" fontId="7" fillId="34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indent="1"/>
    </xf>
    <xf numFmtId="0" fontId="3" fillId="34" borderId="0" xfId="0" applyFont="1" applyFill="1" applyBorder="1" applyAlignment="1">
      <alignment horizontal="left" vertical="top" wrapText="1" indent="1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 vertical="top" wrapText="1"/>
    </xf>
    <xf numFmtId="0" fontId="2" fillId="34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left"/>
    </xf>
    <xf numFmtId="3" fontId="7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left" indent="1"/>
    </xf>
    <xf numFmtId="3" fontId="3" fillId="34" borderId="0" xfId="0" applyNumberFormat="1" applyFont="1" applyFill="1" applyBorder="1" applyAlignment="1">
      <alignment horizontal="right" vertical="top" wrapText="1" indent="1"/>
    </xf>
    <xf numFmtId="0" fontId="26" fillId="0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3"/>
    </xf>
    <xf numFmtId="0" fontId="3" fillId="0" borderId="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34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quotePrefix="1">
      <alignment horizontal="right"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left" vertical="top" wrapText="1" indent="6"/>
    </xf>
    <xf numFmtId="3" fontId="7" fillId="0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 quotePrefix="1">
      <alignment horizontal="right"/>
    </xf>
    <xf numFmtId="0" fontId="12" fillId="0" borderId="0" xfId="0" applyFont="1" applyFill="1" applyBorder="1" applyAlignment="1">
      <alignment horizontal="left" vertical="top" wrapText="1" indent="6"/>
    </xf>
    <xf numFmtId="3" fontId="12" fillId="34" borderId="0" xfId="0" applyNumberFormat="1" applyFont="1" applyFill="1" applyBorder="1" applyAlignment="1">
      <alignment horizontal="right" vertical="top" wrapText="1" indent="6"/>
    </xf>
    <xf numFmtId="0" fontId="5" fillId="0" borderId="0" xfId="0" applyFont="1" applyFill="1" applyBorder="1" applyAlignment="1">
      <alignment horizontal="left" vertical="top" wrapText="1" indent="6"/>
    </xf>
    <xf numFmtId="3" fontId="2" fillId="0" borderId="0" xfId="0" applyNumberFormat="1" applyFont="1" applyFill="1" applyBorder="1" applyAlignment="1" quotePrefix="1">
      <alignment horizontal="right" wrapText="1"/>
    </xf>
    <xf numFmtId="0" fontId="5" fillId="34" borderId="0" xfId="0" applyFont="1" applyFill="1" applyBorder="1" applyAlignment="1">
      <alignment horizontal="left" vertical="top" wrapText="1" indent="6"/>
    </xf>
    <xf numFmtId="3" fontId="5" fillId="34" borderId="0" xfId="0" applyNumberFormat="1" applyFont="1" applyFill="1" applyBorder="1" applyAlignment="1">
      <alignment horizontal="right" vertical="top" wrapText="1" indent="6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 wrapText="1" indent="5"/>
    </xf>
    <xf numFmtId="0" fontId="5" fillId="34" borderId="0" xfId="0" applyFont="1" applyFill="1" applyBorder="1" applyAlignment="1">
      <alignment horizontal="left" vertical="top" wrapText="1" indent="5"/>
    </xf>
    <xf numFmtId="3" fontId="5" fillId="34" borderId="0" xfId="0" applyNumberFormat="1" applyFont="1" applyFill="1" applyBorder="1" applyAlignment="1">
      <alignment horizontal="right" vertical="top" wrapText="1" indent="5"/>
    </xf>
    <xf numFmtId="3" fontId="12" fillId="0" borderId="0" xfId="0" applyNumberFormat="1" applyFont="1" applyFill="1" applyBorder="1" applyAlignment="1">
      <alignment horizontal="right" vertical="top" wrapText="1" indent="6"/>
    </xf>
    <xf numFmtId="0" fontId="5" fillId="34" borderId="0" xfId="0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 indent="5"/>
    </xf>
    <xf numFmtId="3" fontId="5" fillId="0" borderId="0" xfId="0" applyNumberFormat="1" applyFont="1" applyFill="1" applyBorder="1" applyAlignment="1">
      <alignment horizontal="right" vertical="top" wrapText="1" indent="6"/>
    </xf>
    <xf numFmtId="0" fontId="2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 indent="5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left" vertical="top" wrapText="1" indent="5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17" fillId="35" borderId="26" xfId="0" applyFont="1" applyFill="1" applyBorder="1" applyAlignment="1">
      <alignment/>
    </xf>
    <xf numFmtId="0" fontId="3" fillId="35" borderId="26" xfId="0" applyFont="1" applyFill="1" applyBorder="1" applyAlignment="1">
      <alignment vertical="top" wrapText="1"/>
    </xf>
    <xf numFmtId="0" fontId="2" fillId="35" borderId="26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7" fillId="36" borderId="27" xfId="0" applyFont="1" applyFill="1" applyBorder="1" applyAlignment="1">
      <alignment/>
    </xf>
    <xf numFmtId="0" fontId="7" fillId="0" borderId="0" xfId="0" applyFont="1" applyFill="1" applyAlignment="1">
      <alignment horizontal="left" indent="2"/>
    </xf>
    <xf numFmtId="0" fontId="7" fillId="0" borderId="0" xfId="0" applyFont="1" applyFill="1" applyAlignment="1">
      <alignment horizontal="left" indent="2"/>
    </xf>
    <xf numFmtId="3" fontId="35" fillId="33" borderId="0" xfId="0" applyNumberFormat="1" applyFont="1" applyFill="1" applyBorder="1" applyAlignment="1" applyProtection="1">
      <alignment horizontal="left" vertical="top" wrapText="1" indent="4"/>
      <protection hidden="1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2" fillId="0" borderId="0" xfId="0" applyFont="1" applyFill="1" applyBorder="1" applyAlignment="1" quotePrefix="1">
      <alignment horizontal="left"/>
    </xf>
    <xf numFmtId="183" fontId="7" fillId="0" borderId="0" xfId="42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49" fontId="7" fillId="0" borderId="28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3" fontId="17" fillId="0" borderId="28" xfId="0" applyNumberFormat="1" applyFont="1" applyFill="1" applyBorder="1" applyAlignment="1">
      <alignment horizontal="right"/>
    </xf>
    <xf numFmtId="3" fontId="7" fillId="0" borderId="29" xfId="0" applyNumberFormat="1" applyFont="1" applyFill="1" applyBorder="1" applyAlignment="1">
      <alignment horizontal="right"/>
    </xf>
    <xf numFmtId="3" fontId="2" fillId="0" borderId="28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3" fontId="7" fillId="0" borderId="28" xfId="0" applyNumberFormat="1" applyFont="1" applyFill="1" applyBorder="1" applyAlignment="1">
      <alignment horizontal="right"/>
    </xf>
    <xf numFmtId="3" fontId="15" fillId="0" borderId="28" xfId="0" applyNumberFormat="1" applyFont="1" applyFill="1" applyBorder="1" applyAlignment="1">
      <alignment horizontal="right" wrapText="1"/>
    </xf>
    <xf numFmtId="3" fontId="15" fillId="0" borderId="29" xfId="0" applyNumberFormat="1" applyFont="1" applyFill="1" applyBorder="1" applyAlignment="1">
      <alignment horizontal="right" wrapText="1"/>
    </xf>
    <xf numFmtId="3" fontId="7" fillId="0" borderId="28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right"/>
    </xf>
    <xf numFmtId="49" fontId="17" fillId="0" borderId="28" xfId="0" applyNumberFormat="1" applyFont="1" applyFill="1" applyBorder="1" applyAlignment="1">
      <alignment horizontal="center"/>
    </xf>
    <xf numFmtId="3" fontId="12" fillId="0" borderId="28" xfId="0" applyNumberFormat="1" applyFont="1" applyFill="1" applyBorder="1" applyAlignment="1">
      <alignment horizontal="right" vertical="top" wrapText="1" indent="6"/>
    </xf>
    <xf numFmtId="3" fontId="5" fillId="0" borderId="29" xfId="0" applyNumberFormat="1" applyFont="1" applyFill="1" applyBorder="1" applyAlignment="1">
      <alignment horizontal="left" vertical="top" wrapText="1" indent="5"/>
    </xf>
    <xf numFmtId="3" fontId="5" fillId="0" borderId="28" xfId="0" applyNumberFormat="1" applyFont="1" applyFill="1" applyBorder="1" applyAlignment="1">
      <alignment horizontal="right" vertical="top" wrapText="1" indent="5"/>
    </xf>
    <xf numFmtId="3" fontId="5" fillId="0" borderId="29" xfId="0" applyNumberFormat="1" applyFont="1" applyFill="1" applyBorder="1" applyAlignment="1">
      <alignment horizontal="left" vertical="top" wrapText="1" indent="6"/>
    </xf>
    <xf numFmtId="3" fontId="5" fillId="0" borderId="28" xfId="0" applyNumberFormat="1" applyFont="1" applyFill="1" applyBorder="1" applyAlignment="1">
      <alignment horizontal="right" vertical="top" wrapText="1" indent="6"/>
    </xf>
    <xf numFmtId="0" fontId="2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vertical="top" wrapText="1"/>
    </xf>
    <xf numFmtId="3" fontId="7" fillId="0" borderId="32" xfId="0" applyNumberFormat="1" applyFont="1" applyFill="1" applyBorder="1" applyAlignment="1">
      <alignment horizontal="right"/>
    </xf>
    <xf numFmtId="3" fontId="38" fillId="0" borderId="32" xfId="0" applyNumberFormat="1" applyFont="1" applyFill="1" applyBorder="1" applyAlignment="1">
      <alignment horizontal="right"/>
    </xf>
    <xf numFmtId="3" fontId="7" fillId="0" borderId="33" xfId="0" applyNumberFormat="1" applyFont="1" applyFill="1" applyBorder="1" applyAlignment="1">
      <alignment horizontal="right"/>
    </xf>
    <xf numFmtId="0" fontId="17" fillId="0" borderId="30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 vertical="top" wrapText="1"/>
    </xf>
    <xf numFmtId="0" fontId="26" fillId="0" borderId="32" xfId="0" applyFont="1" applyFill="1" applyBorder="1" applyAlignment="1">
      <alignment/>
    </xf>
    <xf numFmtId="0" fontId="27" fillId="0" borderId="32" xfId="0" applyFont="1" applyFill="1" applyBorder="1" applyAlignment="1">
      <alignment horizontal="left" indent="1"/>
    </xf>
    <xf numFmtId="0" fontId="26" fillId="0" borderId="32" xfId="0" applyFont="1" applyFill="1" applyBorder="1" applyAlignment="1">
      <alignment horizontal="left"/>
    </xf>
    <xf numFmtId="0" fontId="26" fillId="0" borderId="32" xfId="0" applyFont="1" applyFill="1" applyBorder="1" applyAlignment="1">
      <alignment horizontal="left" indent="1"/>
    </xf>
    <xf numFmtId="0" fontId="26" fillId="0" borderId="32" xfId="0" applyFont="1" applyFill="1" applyBorder="1" applyAlignment="1">
      <alignment horizontal="left" indent="2"/>
    </xf>
    <xf numFmtId="0" fontId="27" fillId="0" borderId="32" xfId="0" applyFont="1" applyFill="1" applyBorder="1" applyAlignment="1">
      <alignment horizontal="left" indent="3"/>
    </xf>
    <xf numFmtId="0" fontId="26" fillId="0" borderId="33" xfId="0" applyFont="1" applyFill="1" applyBorder="1" applyAlignment="1">
      <alignment horizontal="left" wrapText="1"/>
    </xf>
    <xf numFmtId="0" fontId="3" fillId="0" borderId="34" xfId="0" applyFont="1" applyFill="1" applyBorder="1" applyAlignment="1">
      <alignment horizontal="right" vertical="top" wrapText="1"/>
    </xf>
    <xf numFmtId="0" fontId="17" fillId="33" borderId="35" xfId="0" applyFont="1" applyFill="1" applyBorder="1" applyAlignment="1">
      <alignment horizontal="center"/>
    </xf>
    <xf numFmtId="0" fontId="17" fillId="33" borderId="26" xfId="0" applyFont="1" applyFill="1" applyBorder="1" applyAlignment="1">
      <alignment horizontal="center"/>
    </xf>
    <xf numFmtId="0" fontId="17" fillId="33" borderId="36" xfId="0" applyFont="1" applyFill="1" applyBorder="1" applyAlignment="1">
      <alignment horizontal="center"/>
    </xf>
    <xf numFmtId="0" fontId="17" fillId="35" borderId="35" xfId="0" applyFont="1" applyFill="1" applyBorder="1" applyAlignment="1">
      <alignment horizontal="center"/>
    </xf>
    <xf numFmtId="0" fontId="17" fillId="35" borderId="26" xfId="0" applyFont="1" applyFill="1" applyBorder="1" applyAlignment="1">
      <alignment horizontal="center"/>
    </xf>
    <xf numFmtId="0" fontId="17" fillId="35" borderId="36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 vertical="top"/>
    </xf>
    <xf numFmtId="0" fontId="16" fillId="0" borderId="32" xfId="0" applyFont="1" applyFill="1" applyBorder="1" applyAlignment="1">
      <alignment horizontal="center" vertical="top"/>
    </xf>
    <xf numFmtId="0" fontId="16" fillId="0" borderId="33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Sectorwise Gross Saving 
FY2005-06</a:t>
            </a:r>
          </a:p>
        </c:rich>
      </c:tx>
      <c:layout>
        <c:manualLayout>
          <c:xMode val="factor"/>
          <c:yMode val="factor"/>
          <c:x val="0.009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315"/>
          <c:w val="0.8605"/>
          <c:h val="0.6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Capital_Acct!$B$10</c:f>
              <c:strCache>
                <c:ptCount val="1"/>
                <c:pt idx="0">
                  <c:v>Saving, Gross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Capital_Acct!$O$9:$Y$9</c:f>
              <c:strCache>
                <c:ptCount val="11"/>
                <c:pt idx="0">
                  <c:v> Institutions</c:v>
                </c:pt>
                <c:pt idx="1">
                  <c:v>corporations</c:v>
                </c:pt>
                <c:pt idx="2">
                  <c:v>Intermidaries</c:v>
                </c:pt>
                <c:pt idx="3">
                  <c:v>-</c:v>
                </c:pt>
                <c:pt idx="4">
                  <c:v>-</c:v>
                </c:pt>
                <c:pt idx="5">
                  <c:v>institutions</c:v>
                </c:pt>
                <c:pt idx="6">
                  <c:v> corporations</c:v>
                </c:pt>
                <c:pt idx="7">
                  <c:v>Prov NPIs)</c:v>
                </c:pt>
                <c:pt idx="8">
                  <c:v>Fed NPIs)</c:v>
                </c:pt>
                <c:pt idx="9">
                  <c:v>Sector</c:v>
                </c:pt>
                <c:pt idx="10">
                  <c:v>the world</c:v>
                </c:pt>
              </c:strCache>
            </c:strRef>
          </c:cat>
          <c:val>
            <c:numRef>
              <c:f>Capital_Acct!$O$10:$Y$10</c:f>
              <c:numCache>
                <c:ptCount val="11"/>
                <c:pt idx="0">
                  <c:v>30403.78</c:v>
                </c:pt>
                <c:pt idx="1">
                  <c:v>114303.27600000001</c:v>
                </c:pt>
                <c:pt idx="2">
                  <c:v>624.8340000000001</c:v>
                </c:pt>
                <c:pt idx="3">
                  <c:v>18406</c:v>
                </c:pt>
                <c:pt idx="5">
                  <c:v>35457</c:v>
                </c:pt>
                <c:pt idx="6">
                  <c:v>166554</c:v>
                </c:pt>
                <c:pt idx="7">
                  <c:v>460501</c:v>
                </c:pt>
                <c:pt idx="8">
                  <c:v>24118</c:v>
                </c:pt>
                <c:pt idx="9">
                  <c:v>63087</c:v>
                </c:pt>
                <c:pt idx="10">
                  <c:v>803501</c:v>
                </c:pt>
              </c:numCache>
            </c:numRef>
          </c:val>
        </c:ser>
        <c:axId val="7906834"/>
        <c:axId val="27971595"/>
      </c:barChart>
      <c:catAx>
        <c:axId val="790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71595"/>
        <c:crosses val="autoZero"/>
        <c:auto val="1"/>
        <c:lblOffset val="100"/>
        <c:tickLblSkip val="1"/>
        <c:noMultiLvlLbl val="0"/>
      </c:catAx>
      <c:valAx>
        <c:axId val="27971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068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lending (+) / net borrowing (–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</a:t>
            </a:r>
          </a:p>
        </c:rich>
      </c:tx>
      <c:layout>
        <c:manualLayout>
          <c:xMode val="factor"/>
          <c:yMode val="factor"/>
          <c:x val="0.0177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78"/>
          <c:w val="0.93475"/>
          <c:h val="0.6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Capital_Acct!$B$43</c:f>
              <c:strCache>
                <c:ptCount val="1"/>
                <c:pt idx="0">
                  <c:v>Net lending (+) / net borrowing (–)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5"/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Capital_Acct!$D$9:$N$9</c:f>
              <c:strCache>
                <c:ptCount val="11"/>
                <c:pt idx="0">
                  <c:v>the world</c:v>
                </c:pt>
                <c:pt idx="1">
                  <c:v>Sector</c:v>
                </c:pt>
                <c:pt idx="2">
                  <c:v>Fed NPIs)</c:v>
                </c:pt>
                <c:pt idx="3">
                  <c:v>Prov NPIs)</c:v>
                </c:pt>
                <c:pt idx="4">
                  <c:v> corporations</c:v>
                </c:pt>
                <c:pt idx="5">
                  <c:v>institutions</c:v>
                </c:pt>
                <c:pt idx="6">
                  <c:v>-</c:v>
                </c:pt>
                <c:pt idx="7">
                  <c:v>-</c:v>
                </c:pt>
                <c:pt idx="8">
                  <c:v>Intermidaries</c:v>
                </c:pt>
                <c:pt idx="9">
                  <c:v>corporations</c:v>
                </c:pt>
                <c:pt idx="10">
                  <c:v> Institutions</c:v>
                </c:pt>
              </c:strCache>
            </c:strRef>
          </c:cat>
          <c:val>
            <c:numRef>
              <c:f>Capital_Acct!$D$43:$N$43</c:f>
              <c:numCache>
                <c:ptCount val="11"/>
                <c:pt idx="0">
                  <c:v>0</c:v>
                </c:pt>
                <c:pt idx="1">
                  <c:v>184991</c:v>
                </c:pt>
                <c:pt idx="2">
                  <c:v>-272995</c:v>
                </c:pt>
                <c:pt idx="3">
                  <c:v>21531</c:v>
                </c:pt>
                <c:pt idx="4">
                  <c:v>-343052.4150618415</c:v>
                </c:pt>
                <c:pt idx="5">
                  <c:v>-81294</c:v>
                </c:pt>
                <c:pt idx="6">
                  <c:v>34986.137</c:v>
                </c:pt>
                <c:pt idx="7">
                  <c:v>17452</c:v>
                </c:pt>
                <c:pt idx="8">
                  <c:v>-953.5299999999997</c:v>
                </c:pt>
                <c:pt idx="9">
                  <c:v>56378.235000000015</c:v>
                </c:pt>
                <c:pt idx="10">
                  <c:v>29317.502</c:v>
                </c:pt>
              </c:numCache>
            </c:numRef>
          </c:val>
        </c:ser>
        <c:axId val="5869888"/>
        <c:axId val="36009025"/>
      </c:barChart>
      <c:catAx>
        <c:axId val="586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6009025"/>
        <c:crosses val="autoZero"/>
        <c:auto val="1"/>
        <c:lblOffset val="100"/>
        <c:tickLblSkip val="1"/>
        <c:noMultiLvlLbl val="0"/>
      </c:catAx>
      <c:valAx>
        <c:axId val="36009025"/>
        <c:scaling>
          <c:orientation val="minMax"/>
          <c:max val="300000"/>
          <c:min val="-4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9888"/>
        <c:crossesAt val="1"/>
        <c:crossBetween val="between"/>
        <c:dispUnits/>
      </c:valAx>
      <c:spPr>
        <a:noFill/>
        <a:ln w="3175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surance_FOF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ank_FOF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positry_FOF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on_Depositry_FOF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BP_FOF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ublic_FOF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rivate_FOF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4_Final_FOF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edNPIs_FOF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rovNPIs_FOF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_sheet"/>
      <sheetName val="FOFA"/>
      <sheetName val="Insurance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OFA"/>
      <sheetName val="Ban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_sheet"/>
      <sheetName val="Capital_Acct"/>
      <sheetName val="FOFA"/>
      <sheetName val="Depositr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lan_sheet"/>
      <sheetName val="Capital_Acct"/>
      <sheetName val="FOFA"/>
      <sheetName val="Non_Depositr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FA"/>
      <sheetName val="SB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FA"/>
      <sheetName val="Public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FA"/>
      <sheetName val="Privat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FA"/>
      <sheetName val="Sheet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d NPIs"/>
      <sheetName val="FOF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ov NPIs"/>
      <sheetName val="FOF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66"/>
  <sheetViews>
    <sheetView view="pageBreakPreview" zoomScale="75" zoomScaleNormal="75" zoomScaleSheetLayoutView="75" zoomScalePageLayoutView="0" workbookViewId="0" topLeftCell="M28">
      <selection activeCell="O44" sqref="O44"/>
    </sheetView>
  </sheetViews>
  <sheetFormatPr defaultColWidth="9.140625" defaultRowHeight="18" customHeight="1"/>
  <cols>
    <col min="1" max="1" width="1.421875" style="69" customWidth="1"/>
    <col min="2" max="2" width="67.00390625" style="69" customWidth="1"/>
    <col min="3" max="8" width="13.7109375" style="69" customWidth="1"/>
    <col min="9" max="9" width="13.7109375" style="81" customWidth="1"/>
    <col min="10" max="11" width="13.7109375" style="89" customWidth="1"/>
    <col min="12" max="13" width="13.7109375" style="69" customWidth="1"/>
    <col min="14" max="14" width="13.7109375" style="66" customWidth="1"/>
    <col min="15" max="15" width="13.7109375" style="80" customWidth="1"/>
    <col min="16" max="19" width="13.7109375" style="81" customWidth="1"/>
    <col min="20" max="20" width="13.7109375" style="80" customWidth="1"/>
    <col min="21" max="24" width="13.7109375" style="81" customWidth="1"/>
    <col min="25" max="26" width="13.7109375" style="69" customWidth="1"/>
    <col min="27" max="27" width="10.421875" style="69" customWidth="1"/>
    <col min="28" max="28" width="39.57421875" style="70" hidden="1" customWidth="1"/>
    <col min="29" max="29" width="10.8515625" style="69" hidden="1" customWidth="1"/>
    <col min="30" max="30" width="29.140625" style="69" hidden="1" customWidth="1"/>
    <col min="31" max="31" width="10.8515625" style="70" hidden="1" customWidth="1"/>
    <col min="32" max="32" width="11.140625" style="69" hidden="1" customWidth="1"/>
    <col min="33" max="33" width="10.140625" style="69" hidden="1" customWidth="1"/>
    <col min="34" max="34" width="0" style="69" hidden="1" customWidth="1"/>
    <col min="35" max="16384" width="9.140625" style="69" customWidth="1"/>
  </cols>
  <sheetData>
    <row r="1" spans="2:26" ht="18" customHeight="1">
      <c r="B1" s="62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2:26" ht="18" customHeight="1">
      <c r="B2" s="62"/>
      <c r="C2" s="96"/>
      <c r="D2" s="96"/>
      <c r="E2" s="96"/>
      <c r="F2" s="96"/>
      <c r="G2" s="96"/>
      <c r="H2" s="110" t="s">
        <v>108</v>
      </c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2:28" ht="18" customHeight="1">
      <c r="B3" s="62"/>
      <c r="C3" s="62"/>
      <c r="D3" s="62"/>
      <c r="E3" s="62"/>
      <c r="F3" s="62"/>
      <c r="G3" s="62"/>
      <c r="H3" s="62"/>
      <c r="I3" s="113" t="s">
        <v>109</v>
      </c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B3" s="72"/>
    </row>
    <row r="4" spans="3:31" s="71" customFormat="1" ht="18" customHeight="1" thickBot="1">
      <c r="C4" s="183" t="s">
        <v>41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 t="s">
        <v>44</v>
      </c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B4" s="72"/>
      <c r="AD4" s="72"/>
      <c r="AE4" s="72"/>
    </row>
    <row r="5" spans="3:31" s="71" customFormat="1" ht="18" customHeight="1" thickBot="1">
      <c r="C5" s="97"/>
      <c r="E5" s="180" t="s">
        <v>164</v>
      </c>
      <c r="F5" s="181"/>
      <c r="G5" s="181"/>
      <c r="H5" s="182"/>
      <c r="I5" s="182"/>
      <c r="J5" s="178" t="s">
        <v>35</v>
      </c>
      <c r="K5" s="178"/>
      <c r="L5" s="178"/>
      <c r="M5" s="178"/>
      <c r="N5" s="178"/>
      <c r="O5" s="179"/>
      <c r="P5" s="178"/>
      <c r="Q5" s="178" t="s">
        <v>35</v>
      </c>
      <c r="R5" s="178"/>
      <c r="S5" s="178"/>
      <c r="T5" s="180"/>
      <c r="U5" s="180" t="s">
        <v>164</v>
      </c>
      <c r="V5" s="181"/>
      <c r="W5" s="182"/>
      <c r="X5" s="182"/>
      <c r="Y5" s="180"/>
      <c r="Z5" s="97"/>
      <c r="AB5" s="114" t="s">
        <v>110</v>
      </c>
      <c r="AE5" s="72"/>
    </row>
    <row r="6" spans="2:31" s="71" customFormat="1" ht="18" customHeight="1">
      <c r="B6" s="119"/>
      <c r="C6" s="177" t="s">
        <v>163</v>
      </c>
      <c r="D6" s="118" t="s">
        <v>160</v>
      </c>
      <c r="E6" s="117" t="s">
        <v>159</v>
      </c>
      <c r="F6" s="118" t="s">
        <v>158</v>
      </c>
      <c r="G6" s="117" t="s">
        <v>157</v>
      </c>
      <c r="H6" s="118" t="s">
        <v>156</v>
      </c>
      <c r="I6" s="117" t="s">
        <v>155</v>
      </c>
      <c r="J6" s="118" t="s">
        <v>154</v>
      </c>
      <c r="K6" s="117" t="s">
        <v>153</v>
      </c>
      <c r="L6" s="118" t="s">
        <v>152</v>
      </c>
      <c r="M6" s="117" t="s">
        <v>151</v>
      </c>
      <c r="N6" s="118" t="s">
        <v>150</v>
      </c>
      <c r="O6" s="118" t="s">
        <v>150</v>
      </c>
      <c r="P6" s="117" t="s">
        <v>151</v>
      </c>
      <c r="Q6" s="118" t="s">
        <v>152</v>
      </c>
      <c r="R6" s="117" t="s">
        <v>153</v>
      </c>
      <c r="S6" s="118" t="s">
        <v>154</v>
      </c>
      <c r="T6" s="117" t="s">
        <v>155</v>
      </c>
      <c r="U6" s="118" t="s">
        <v>156</v>
      </c>
      <c r="V6" s="117" t="s">
        <v>157</v>
      </c>
      <c r="W6" s="118" t="s">
        <v>158</v>
      </c>
      <c r="X6" s="117" t="s">
        <v>159</v>
      </c>
      <c r="Y6" s="118" t="s">
        <v>160</v>
      </c>
      <c r="Z6" s="177" t="s">
        <v>163</v>
      </c>
      <c r="AB6" s="114"/>
      <c r="AE6" s="72"/>
    </row>
    <row r="7" spans="3:31" s="71" customFormat="1" ht="18" customHeight="1">
      <c r="C7" s="176" t="s">
        <v>162</v>
      </c>
      <c r="D7" s="111" t="s">
        <v>148</v>
      </c>
      <c r="E7" s="111" t="s">
        <v>137</v>
      </c>
      <c r="F7" s="111" t="s">
        <v>145</v>
      </c>
      <c r="G7" s="111" t="s">
        <v>142</v>
      </c>
      <c r="H7" s="111" t="s">
        <v>141</v>
      </c>
      <c r="I7" s="111" t="s">
        <v>139</v>
      </c>
      <c r="J7" s="111" t="s">
        <v>130</v>
      </c>
      <c r="K7" s="111" t="s">
        <v>124</v>
      </c>
      <c r="L7" s="111" t="s">
        <v>137</v>
      </c>
      <c r="M7" s="111" t="s">
        <v>135</v>
      </c>
      <c r="N7" s="111" t="s">
        <v>133</v>
      </c>
      <c r="O7" s="111" t="s">
        <v>133</v>
      </c>
      <c r="P7" s="111" t="s">
        <v>135</v>
      </c>
      <c r="Q7" s="111" t="s">
        <v>137</v>
      </c>
      <c r="R7" s="111" t="s">
        <v>124</v>
      </c>
      <c r="S7" s="111" t="s">
        <v>130</v>
      </c>
      <c r="T7" s="111" t="s">
        <v>139</v>
      </c>
      <c r="U7" s="111" t="s">
        <v>141</v>
      </c>
      <c r="V7" s="111" t="s">
        <v>142</v>
      </c>
      <c r="W7" s="111" t="s">
        <v>145</v>
      </c>
      <c r="X7" s="111" t="s">
        <v>137</v>
      </c>
      <c r="Y7" s="111" t="s">
        <v>148</v>
      </c>
      <c r="Z7" s="176" t="s">
        <v>162</v>
      </c>
      <c r="AB7" s="114"/>
      <c r="AE7" s="72"/>
    </row>
    <row r="8" spans="2:31" s="71" customFormat="1" ht="18" customHeight="1">
      <c r="B8" s="128"/>
      <c r="C8" s="112" t="s">
        <v>163</v>
      </c>
      <c r="D8" s="111" t="s">
        <v>149</v>
      </c>
      <c r="E8" s="111" t="s">
        <v>147</v>
      </c>
      <c r="F8" s="111" t="s">
        <v>143</v>
      </c>
      <c r="G8" s="111" t="s">
        <v>143</v>
      </c>
      <c r="H8" s="111" t="s">
        <v>140</v>
      </c>
      <c r="I8" s="111" t="s">
        <v>138</v>
      </c>
      <c r="J8" s="111" t="s">
        <v>131</v>
      </c>
      <c r="K8" s="111" t="s">
        <v>125</v>
      </c>
      <c r="L8" s="111" t="s">
        <v>136</v>
      </c>
      <c r="M8" s="111" t="s">
        <v>134</v>
      </c>
      <c r="N8" s="111" t="s">
        <v>132</v>
      </c>
      <c r="O8" s="111" t="s">
        <v>132</v>
      </c>
      <c r="P8" s="111" t="s">
        <v>134</v>
      </c>
      <c r="Q8" s="111" t="s">
        <v>136</v>
      </c>
      <c r="R8" s="111" t="s">
        <v>125</v>
      </c>
      <c r="S8" s="111" t="s">
        <v>131</v>
      </c>
      <c r="T8" s="111" t="s">
        <v>138</v>
      </c>
      <c r="U8" s="111" t="s">
        <v>140</v>
      </c>
      <c r="V8" s="111" t="s">
        <v>143</v>
      </c>
      <c r="W8" s="111" t="s">
        <v>143</v>
      </c>
      <c r="X8" s="111" t="s">
        <v>147</v>
      </c>
      <c r="Y8" s="111" t="s">
        <v>149</v>
      </c>
      <c r="Z8" s="112" t="s">
        <v>163</v>
      </c>
      <c r="AB8" s="114"/>
      <c r="AE8" s="72"/>
    </row>
    <row r="9" spans="2:31" s="73" customFormat="1" ht="18" customHeight="1">
      <c r="B9" s="119" t="s">
        <v>166</v>
      </c>
      <c r="C9" s="115" t="s">
        <v>163</v>
      </c>
      <c r="D9" s="111" t="s">
        <v>129</v>
      </c>
      <c r="E9" s="111" t="s">
        <v>128</v>
      </c>
      <c r="F9" s="111" t="s">
        <v>146</v>
      </c>
      <c r="G9" s="111" t="s">
        <v>144</v>
      </c>
      <c r="H9" s="111" t="s">
        <v>127</v>
      </c>
      <c r="I9" s="111" t="s">
        <v>126</v>
      </c>
      <c r="J9" s="111" t="s">
        <v>161</v>
      </c>
      <c r="K9" s="111" t="s">
        <v>161</v>
      </c>
      <c r="L9" s="111" t="s">
        <v>123</v>
      </c>
      <c r="M9" s="111" t="s">
        <v>122</v>
      </c>
      <c r="N9" s="111" t="s">
        <v>121</v>
      </c>
      <c r="O9" s="111" t="s">
        <v>121</v>
      </c>
      <c r="P9" s="111" t="s">
        <v>122</v>
      </c>
      <c r="Q9" s="111" t="s">
        <v>123</v>
      </c>
      <c r="R9" s="111" t="s">
        <v>161</v>
      </c>
      <c r="S9" s="111" t="s">
        <v>161</v>
      </c>
      <c r="T9" s="111" t="s">
        <v>126</v>
      </c>
      <c r="U9" s="111" t="s">
        <v>127</v>
      </c>
      <c r="V9" s="111" t="s">
        <v>144</v>
      </c>
      <c r="W9" s="111" t="s">
        <v>146</v>
      </c>
      <c r="X9" s="111" t="s">
        <v>128</v>
      </c>
      <c r="Y9" s="111" t="s">
        <v>129</v>
      </c>
      <c r="Z9" s="115" t="s">
        <v>163</v>
      </c>
      <c r="AB9" s="114" t="s">
        <v>111</v>
      </c>
      <c r="AE9" s="74"/>
    </row>
    <row r="10" spans="2:31" s="63" customFormat="1" ht="18" customHeight="1">
      <c r="B10" s="120" t="s">
        <v>2</v>
      </c>
      <c r="C10" s="121"/>
      <c r="D10" s="121"/>
      <c r="E10" s="121"/>
      <c r="F10" s="121"/>
      <c r="G10" s="122"/>
      <c r="H10" s="123"/>
      <c r="I10" s="123"/>
      <c r="J10" s="124"/>
      <c r="K10" s="124"/>
      <c r="L10" s="123"/>
      <c r="M10" s="123"/>
      <c r="N10" s="125"/>
      <c r="O10" s="126">
        <f aca="true" t="shared" si="0" ref="O10:U10">O11+O12</f>
        <v>30403.78</v>
      </c>
      <c r="P10" s="127">
        <f t="shared" si="0"/>
        <v>114303.27600000001</v>
      </c>
      <c r="Q10" s="127">
        <f t="shared" si="0"/>
        <v>624.8340000000001</v>
      </c>
      <c r="R10" s="127">
        <f t="shared" si="0"/>
        <v>18406</v>
      </c>
      <c r="S10" s="127"/>
      <c r="T10" s="127">
        <f t="shared" si="0"/>
        <v>35457</v>
      </c>
      <c r="U10" s="127">
        <f t="shared" si="0"/>
        <v>166554</v>
      </c>
      <c r="V10" s="116">
        <f>SUM(V11:V12)</f>
        <v>460501</v>
      </c>
      <c r="W10" s="116">
        <f>SUM(W11:W12)</f>
        <v>24118</v>
      </c>
      <c r="X10" s="116">
        <f>SUM(X11:X12)</f>
        <v>63087</v>
      </c>
      <c r="Y10" s="116">
        <f>SUM(Y11:Y12)</f>
        <v>803501</v>
      </c>
      <c r="Z10" s="116">
        <f>Z11+Z12</f>
        <v>1716955.89</v>
      </c>
      <c r="AA10" s="75"/>
      <c r="AB10" s="114" t="s">
        <v>112</v>
      </c>
      <c r="AE10" s="75"/>
    </row>
    <row r="11" spans="2:28" ht="18" customHeight="1">
      <c r="B11" s="128" t="s">
        <v>3</v>
      </c>
      <c r="C11" s="129"/>
      <c r="D11" s="129"/>
      <c r="E11" s="129"/>
      <c r="F11" s="129"/>
      <c r="G11" s="130"/>
      <c r="H11" s="131"/>
      <c r="I11" s="131"/>
      <c r="J11" s="132"/>
      <c r="K11" s="132"/>
      <c r="L11" s="131"/>
      <c r="M11" s="131"/>
      <c r="N11" s="133"/>
      <c r="O11" s="93">
        <v>14308</v>
      </c>
      <c r="P11" s="93">
        <v>69442.346</v>
      </c>
      <c r="Q11" s="93">
        <v>-1716.166</v>
      </c>
      <c r="R11" s="93">
        <v>343</v>
      </c>
      <c r="S11" s="93"/>
      <c r="T11" s="93">
        <v>-10002</v>
      </c>
      <c r="U11" s="93">
        <v>126600</v>
      </c>
      <c r="V11" s="93">
        <v>244874</v>
      </c>
      <c r="W11" s="93">
        <v>564</v>
      </c>
      <c r="X11" s="93">
        <v>0</v>
      </c>
      <c r="Y11" s="93">
        <v>0</v>
      </c>
      <c r="Z11" s="116">
        <f>SUM(O11:Y11)</f>
        <v>444413.18</v>
      </c>
      <c r="AB11" s="114" t="s">
        <v>113</v>
      </c>
    </row>
    <row r="12" spans="2:28" ht="18" customHeight="1">
      <c r="B12" s="128" t="s">
        <v>4</v>
      </c>
      <c r="C12" s="129"/>
      <c r="D12" s="129"/>
      <c r="E12" s="129"/>
      <c r="F12" s="129"/>
      <c r="G12" s="130"/>
      <c r="H12" s="131"/>
      <c r="I12" s="131"/>
      <c r="J12" s="132"/>
      <c r="K12" s="132"/>
      <c r="L12" s="131"/>
      <c r="M12" s="131"/>
      <c r="N12" s="133"/>
      <c r="O12" s="93">
        <v>16095.78</v>
      </c>
      <c r="P12" s="93">
        <v>44860.93</v>
      </c>
      <c r="Q12" s="93">
        <v>2341</v>
      </c>
      <c r="R12" s="93">
        <v>18063</v>
      </c>
      <c r="S12" s="93"/>
      <c r="T12" s="93">
        <v>45459</v>
      </c>
      <c r="U12" s="93">
        <v>39954</v>
      </c>
      <c r="V12" s="93">
        <v>215627</v>
      </c>
      <c r="W12" s="93">
        <v>23554</v>
      </c>
      <c r="X12" s="93">
        <v>63087</v>
      </c>
      <c r="Y12" s="93">
        <v>803501</v>
      </c>
      <c r="Z12" s="116">
        <f>SUM(O12:Y12)</f>
        <v>1272542.71</v>
      </c>
      <c r="AB12" s="114" t="s">
        <v>114</v>
      </c>
    </row>
    <row r="13" spans="2:33" s="63" customFormat="1" ht="18" customHeight="1">
      <c r="B13" s="120" t="s">
        <v>51</v>
      </c>
      <c r="C13" s="129"/>
      <c r="D13" s="129"/>
      <c r="E13" s="129"/>
      <c r="F13" s="129"/>
      <c r="G13" s="122"/>
      <c r="H13" s="123"/>
      <c r="I13" s="123"/>
      <c r="J13" s="123"/>
      <c r="K13" s="123"/>
      <c r="L13" s="123"/>
      <c r="M13" s="123"/>
      <c r="N13" s="125"/>
      <c r="O13" s="134">
        <f>O10+N28</f>
        <v>30399.78</v>
      </c>
      <c r="P13" s="134">
        <f>P10+M28</f>
        <v>109447.84500000002</v>
      </c>
      <c r="Q13" s="134">
        <f>Q10+L28</f>
        <v>-435.25599999999986</v>
      </c>
      <c r="R13" s="134">
        <f>R10+K28</f>
        <v>18281</v>
      </c>
      <c r="S13" s="134"/>
      <c r="T13" s="134">
        <f>T10+J28</f>
        <v>35457</v>
      </c>
      <c r="U13" s="134">
        <f>U10+I28</f>
        <v>119179</v>
      </c>
      <c r="V13" s="134">
        <f>V10+H28</f>
        <v>416055.26529049966</v>
      </c>
      <c r="W13" s="134">
        <f>W10+G28</f>
        <v>23923</v>
      </c>
      <c r="X13" s="134">
        <f>X10+F28</f>
        <v>63087</v>
      </c>
      <c r="Y13" s="134">
        <f>Y10+E28</f>
        <v>273821</v>
      </c>
      <c r="Z13" s="134">
        <f>SUM(O13:Y13)</f>
        <v>1089215.6342904996</v>
      </c>
      <c r="AB13" s="114" t="s">
        <v>115</v>
      </c>
      <c r="AD13" s="76" t="s">
        <v>52</v>
      </c>
      <c r="AE13" s="76">
        <v>842222</v>
      </c>
      <c r="AF13" s="77">
        <v>944424</v>
      </c>
      <c r="AG13" s="63">
        <v>1161500</v>
      </c>
    </row>
    <row r="14" spans="2:33" s="63" customFormat="1" ht="18" customHeight="1">
      <c r="B14" s="135" t="s">
        <v>46</v>
      </c>
      <c r="C14" s="129"/>
      <c r="D14" s="129"/>
      <c r="E14" s="129"/>
      <c r="F14" s="129"/>
      <c r="G14" s="122"/>
      <c r="H14" s="123"/>
      <c r="I14" s="123"/>
      <c r="J14" s="132"/>
      <c r="K14" s="132"/>
      <c r="L14" s="123"/>
      <c r="M14" s="123"/>
      <c r="N14" s="125"/>
      <c r="O14" s="136"/>
      <c r="P14" s="123"/>
      <c r="Q14" s="123"/>
      <c r="R14" s="123"/>
      <c r="S14" s="123"/>
      <c r="T14" s="137"/>
      <c r="U14" s="123"/>
      <c r="V14" s="123"/>
      <c r="W14" s="123"/>
      <c r="X14" s="123"/>
      <c r="Y14" s="129"/>
      <c r="Z14" s="129"/>
      <c r="AA14" s="78"/>
      <c r="AB14" s="114" t="s">
        <v>116</v>
      </c>
      <c r="AD14" s="79" t="s">
        <v>53</v>
      </c>
      <c r="AE14" s="76">
        <v>-45864</v>
      </c>
      <c r="AF14" s="76">
        <v>7026</v>
      </c>
      <c r="AG14" s="63">
        <v>37014</v>
      </c>
    </row>
    <row r="15" spans="2:33" s="63" customFormat="1" ht="18" customHeight="1">
      <c r="B15" s="120" t="s">
        <v>43</v>
      </c>
      <c r="C15" s="127">
        <f aca="true" t="shared" si="1" ref="C15:N15">C16+C29+C30+C31</f>
        <v>2054436.9610618416</v>
      </c>
      <c r="D15" s="127">
        <f>D16+D29+D30+D31</f>
        <v>0</v>
      </c>
      <c r="E15" s="127">
        <f>E16+E29+E30+E31</f>
        <v>670156</v>
      </c>
      <c r="F15" s="127">
        <f t="shared" si="1"/>
        <v>268278</v>
      </c>
      <c r="G15" s="127">
        <f t="shared" si="1"/>
        <v>2587</v>
      </c>
      <c r="H15" s="127">
        <f t="shared" si="1"/>
        <v>803553.4150618415</v>
      </c>
      <c r="I15" s="127">
        <f t="shared" si="1"/>
        <v>247848</v>
      </c>
      <c r="J15" s="127">
        <f t="shared" si="1"/>
        <v>470.86299999999915</v>
      </c>
      <c r="K15" s="127">
        <f>K16+K29+K30+K31</f>
        <v>954</v>
      </c>
      <c r="L15" s="127">
        <f>L16+L29+L30+L31</f>
        <v>1578.3639999999998</v>
      </c>
      <c r="M15" s="127">
        <f t="shared" si="1"/>
        <v>57925.041</v>
      </c>
      <c r="N15" s="127">
        <f t="shared" si="1"/>
        <v>1086.278</v>
      </c>
      <c r="O15" s="136"/>
      <c r="P15" s="123"/>
      <c r="Q15" s="123"/>
      <c r="R15" s="123"/>
      <c r="S15" s="123"/>
      <c r="T15" s="137"/>
      <c r="U15" s="123"/>
      <c r="V15" s="123"/>
      <c r="W15" s="123"/>
      <c r="X15" s="123"/>
      <c r="Y15" s="129"/>
      <c r="Z15" s="129"/>
      <c r="AA15" s="78"/>
      <c r="AB15" s="114" t="s">
        <v>117</v>
      </c>
      <c r="AD15" s="76" t="s">
        <v>54</v>
      </c>
      <c r="AE15" s="76">
        <v>200971</v>
      </c>
      <c r="AF15" s="76">
        <v>3095</v>
      </c>
      <c r="AG15" s="63">
        <v>320985</v>
      </c>
    </row>
    <row r="16" spans="2:33" s="63" customFormat="1" ht="18" customHeight="1">
      <c r="B16" s="138" t="s">
        <v>5</v>
      </c>
      <c r="C16" s="127">
        <f aca="true" t="shared" si="2" ref="C16:N16">C17+C21+C25</f>
        <v>1856804.353285432</v>
      </c>
      <c r="D16" s="127">
        <f t="shared" si="2"/>
        <v>0</v>
      </c>
      <c r="E16" s="127">
        <f t="shared" si="2"/>
        <v>658474</v>
      </c>
      <c r="F16" s="127">
        <f t="shared" si="2"/>
        <v>280734</v>
      </c>
      <c r="G16" s="127">
        <f t="shared" si="2"/>
        <v>1423</v>
      </c>
      <c r="H16" s="127">
        <f t="shared" si="2"/>
        <v>626733.970285432</v>
      </c>
      <c r="I16" s="127">
        <f t="shared" si="2"/>
        <v>232204</v>
      </c>
      <c r="J16" s="127">
        <f t="shared" si="2"/>
        <v>434.04200000000003</v>
      </c>
      <c r="K16" s="127">
        <f>K17+K21+K25</f>
        <v>847</v>
      </c>
      <c r="L16" s="127">
        <f t="shared" si="2"/>
        <v>711.1359999999997</v>
      </c>
      <c r="M16" s="127">
        <f t="shared" si="2"/>
        <v>54316.801</v>
      </c>
      <c r="N16" s="127">
        <f t="shared" si="2"/>
        <v>926.404</v>
      </c>
      <c r="O16" s="136"/>
      <c r="P16" s="123"/>
      <c r="Q16" s="123"/>
      <c r="R16" s="123"/>
      <c r="S16" s="123"/>
      <c r="T16" s="139"/>
      <c r="U16" s="123"/>
      <c r="V16" s="123"/>
      <c r="W16" s="123"/>
      <c r="X16" s="123"/>
      <c r="Y16" s="129"/>
      <c r="Z16" s="129"/>
      <c r="AA16" s="78"/>
      <c r="AB16" s="114" t="s">
        <v>118</v>
      </c>
      <c r="AD16" s="79" t="s">
        <v>55</v>
      </c>
      <c r="AE16" s="76">
        <f>AE13-AE14-AE15</f>
        <v>687115</v>
      </c>
      <c r="AF16" s="76">
        <f>AF13-AF14-AF15</f>
        <v>934303</v>
      </c>
      <c r="AG16" s="76">
        <f>AG13-AG14-AG15</f>
        <v>803501</v>
      </c>
    </row>
    <row r="17" spans="2:31" s="63" customFormat="1" ht="18" customHeight="1">
      <c r="B17" s="140" t="s">
        <v>6</v>
      </c>
      <c r="C17" s="116">
        <f>C19-C20</f>
        <v>1812705.0197247115</v>
      </c>
      <c r="D17" s="116">
        <f aca="true" t="shared" si="3" ref="D17:N17">D19-D20</f>
        <v>0</v>
      </c>
      <c r="E17" s="116">
        <f t="shared" si="3"/>
        <v>658474</v>
      </c>
      <c r="F17" s="116">
        <f t="shared" si="3"/>
        <v>280734</v>
      </c>
      <c r="G17" s="116">
        <f t="shared" si="3"/>
        <v>1359</v>
      </c>
      <c r="H17" s="116">
        <f t="shared" si="3"/>
        <v>626470.1807247114</v>
      </c>
      <c r="I17" s="116">
        <f t="shared" si="3"/>
        <v>219599</v>
      </c>
      <c r="J17" s="116">
        <f t="shared" si="3"/>
        <v>294.251</v>
      </c>
      <c r="K17" s="116">
        <f>K19-K20</f>
        <v>602</v>
      </c>
      <c r="L17" s="116">
        <f t="shared" si="3"/>
        <v>704.5379999999998</v>
      </c>
      <c r="M17" s="116">
        <f t="shared" si="3"/>
        <v>23552.017</v>
      </c>
      <c r="N17" s="116">
        <f t="shared" si="3"/>
        <v>916.033</v>
      </c>
      <c r="O17" s="136"/>
      <c r="P17" s="123"/>
      <c r="Q17" s="123"/>
      <c r="R17" s="123"/>
      <c r="S17" s="123"/>
      <c r="T17" s="139"/>
      <c r="U17" s="123"/>
      <c r="V17" s="123"/>
      <c r="W17" s="123"/>
      <c r="X17" s="123"/>
      <c r="Y17" s="129"/>
      <c r="Z17" s="129"/>
      <c r="AA17" s="78"/>
      <c r="AB17" s="114" t="s">
        <v>119</v>
      </c>
      <c r="AE17" s="75"/>
    </row>
    <row r="18" spans="2:28" ht="18" customHeight="1">
      <c r="B18" s="141" t="s">
        <v>7</v>
      </c>
      <c r="C18" s="142"/>
      <c r="D18" s="142"/>
      <c r="E18" s="142"/>
      <c r="F18" s="142"/>
      <c r="G18" s="71"/>
      <c r="H18" s="91"/>
      <c r="I18" s="91"/>
      <c r="J18" s="143"/>
      <c r="K18" s="143"/>
      <c r="L18" s="91"/>
      <c r="M18" s="91"/>
      <c r="N18" s="144"/>
      <c r="O18" s="145"/>
      <c r="P18" s="131"/>
      <c r="Q18" s="131"/>
      <c r="R18" s="131"/>
      <c r="S18" s="131"/>
      <c r="T18" s="139"/>
      <c r="U18" s="131"/>
      <c r="V18" s="131"/>
      <c r="W18" s="131"/>
      <c r="X18" s="131"/>
      <c r="Y18" s="129"/>
      <c r="Z18" s="129"/>
      <c r="AA18" s="71"/>
      <c r="AB18" s="114" t="s">
        <v>120</v>
      </c>
    </row>
    <row r="19" spans="2:29" ht="18" customHeight="1">
      <c r="B19" s="141" t="s">
        <v>8</v>
      </c>
      <c r="C19" s="116">
        <f>SUM(D19:N19)</f>
        <v>1857509.3226824736</v>
      </c>
      <c r="D19" s="142"/>
      <c r="E19" s="146">
        <v>658474</v>
      </c>
      <c r="F19" s="146">
        <v>280734</v>
      </c>
      <c r="G19" s="146">
        <v>1571</v>
      </c>
      <c r="H19" s="146">
        <v>642785.8456824734</v>
      </c>
      <c r="I19" s="146">
        <v>240968</v>
      </c>
      <c r="J19" s="147">
        <v>1328.688</v>
      </c>
      <c r="K19" s="147">
        <v>755</v>
      </c>
      <c r="L19" s="93">
        <v>1253.3269999999998</v>
      </c>
      <c r="M19" s="93">
        <v>28169.04</v>
      </c>
      <c r="N19" s="148">
        <v>1470.422</v>
      </c>
      <c r="O19" s="145"/>
      <c r="P19" s="131"/>
      <c r="Q19" s="131"/>
      <c r="R19" s="131"/>
      <c r="S19" s="131"/>
      <c r="T19" s="139"/>
      <c r="U19" s="131"/>
      <c r="V19" s="131"/>
      <c r="W19" s="131"/>
      <c r="X19" s="131"/>
      <c r="Y19" s="129"/>
      <c r="Z19" s="129"/>
      <c r="AA19" s="71"/>
      <c r="AB19" s="72"/>
      <c r="AC19" s="70"/>
    </row>
    <row r="20" spans="2:28" ht="18" customHeight="1">
      <c r="B20" s="141" t="s">
        <v>9</v>
      </c>
      <c r="C20" s="116">
        <f>SUM(D20:N20)</f>
        <v>44804.30295776203</v>
      </c>
      <c r="D20" s="142"/>
      <c r="E20" s="142"/>
      <c r="F20" s="142"/>
      <c r="G20" s="146">
        <v>212</v>
      </c>
      <c r="H20" s="146">
        <v>16315.664957762034</v>
      </c>
      <c r="I20" s="146">
        <v>21369</v>
      </c>
      <c r="J20" s="147">
        <v>1034.4370000000001</v>
      </c>
      <c r="K20" s="147">
        <v>153</v>
      </c>
      <c r="L20" s="93">
        <v>548.789</v>
      </c>
      <c r="M20" s="93">
        <v>4617.023</v>
      </c>
      <c r="N20" s="148">
        <v>554.389</v>
      </c>
      <c r="O20" s="145"/>
      <c r="P20" s="131"/>
      <c r="Q20" s="131"/>
      <c r="R20" s="131"/>
      <c r="S20" s="131"/>
      <c r="T20" s="139"/>
      <c r="U20" s="131"/>
      <c r="V20" s="131"/>
      <c r="W20" s="131"/>
      <c r="X20" s="131"/>
      <c r="Y20" s="129"/>
      <c r="Z20" s="129"/>
      <c r="AA20" s="71"/>
      <c r="AB20" s="72"/>
    </row>
    <row r="21" spans="2:31" s="63" customFormat="1" ht="18" customHeight="1">
      <c r="B21" s="140" t="s">
        <v>10</v>
      </c>
      <c r="C21" s="116">
        <f>C23-C24</f>
        <v>44099.33356072062</v>
      </c>
      <c r="D21" s="116">
        <f aca="true" t="shared" si="4" ref="D21:N21">D23-D24</f>
        <v>0</v>
      </c>
      <c r="E21" s="116">
        <f t="shared" si="4"/>
        <v>0</v>
      </c>
      <c r="F21" s="116">
        <f t="shared" si="4"/>
        <v>0</v>
      </c>
      <c r="G21" s="116">
        <f t="shared" si="4"/>
        <v>64</v>
      </c>
      <c r="H21" s="116">
        <f t="shared" si="4"/>
        <v>263.7895607206108</v>
      </c>
      <c r="I21" s="116">
        <f t="shared" si="4"/>
        <v>12605</v>
      </c>
      <c r="J21" s="116">
        <f t="shared" si="4"/>
        <v>139.79100000000003</v>
      </c>
      <c r="K21" s="116">
        <f t="shared" si="4"/>
        <v>245</v>
      </c>
      <c r="L21" s="116">
        <f t="shared" si="4"/>
        <v>6.597999999999999</v>
      </c>
      <c r="M21" s="116">
        <f t="shared" si="4"/>
        <v>30764.784</v>
      </c>
      <c r="N21" s="116">
        <f t="shared" si="4"/>
        <v>10.370999999999999</v>
      </c>
      <c r="O21" s="136"/>
      <c r="P21" s="123"/>
      <c r="Q21" s="123"/>
      <c r="R21" s="123"/>
      <c r="S21" s="123"/>
      <c r="T21" s="139"/>
      <c r="U21" s="123"/>
      <c r="V21" s="123"/>
      <c r="W21" s="123"/>
      <c r="X21" s="123"/>
      <c r="Y21" s="129"/>
      <c r="Z21" s="129"/>
      <c r="AA21" s="78"/>
      <c r="AB21" s="75"/>
      <c r="AE21" s="75"/>
    </row>
    <row r="22" spans="2:27" ht="18" customHeight="1">
      <c r="B22" s="141" t="s">
        <v>11</v>
      </c>
      <c r="C22" s="142"/>
      <c r="D22" s="142"/>
      <c r="E22" s="142"/>
      <c r="F22" s="142"/>
      <c r="G22" s="71"/>
      <c r="H22" s="91"/>
      <c r="I22" s="91"/>
      <c r="J22" s="143"/>
      <c r="K22" s="143"/>
      <c r="L22" s="91"/>
      <c r="M22" s="91"/>
      <c r="N22" s="144"/>
      <c r="O22" s="145"/>
      <c r="P22" s="131"/>
      <c r="Q22" s="131"/>
      <c r="R22" s="131"/>
      <c r="S22" s="131"/>
      <c r="T22" s="139"/>
      <c r="U22" s="131"/>
      <c r="V22" s="131"/>
      <c r="W22" s="131"/>
      <c r="X22" s="131"/>
      <c r="Y22" s="129"/>
      <c r="Z22" s="129"/>
      <c r="AA22" s="71"/>
    </row>
    <row r="23" spans="2:27" ht="18" customHeight="1">
      <c r="B23" s="141" t="s">
        <v>12</v>
      </c>
      <c r="C23" s="116">
        <f>SUM(D23:N23)</f>
        <v>50647.27043126336</v>
      </c>
      <c r="D23" s="142"/>
      <c r="E23" s="142"/>
      <c r="F23" s="142"/>
      <c r="G23" s="146">
        <v>65</v>
      </c>
      <c r="H23" s="146">
        <v>896.4034312633521</v>
      </c>
      <c r="I23" s="146">
        <v>18046</v>
      </c>
      <c r="J23" s="147">
        <v>356.208</v>
      </c>
      <c r="K23" s="147">
        <v>254</v>
      </c>
      <c r="L23" s="93">
        <v>74.782</v>
      </c>
      <c r="M23" s="93">
        <v>30938.668</v>
      </c>
      <c r="N23" s="148">
        <v>16.209</v>
      </c>
      <c r="O23" s="145"/>
      <c r="P23" s="131"/>
      <c r="Q23" s="131"/>
      <c r="R23" s="131"/>
      <c r="S23" s="131"/>
      <c r="T23" s="139"/>
      <c r="U23" s="131"/>
      <c r="V23" s="131"/>
      <c r="W23" s="131"/>
      <c r="X23" s="131"/>
      <c r="Y23" s="129"/>
      <c r="Z23" s="129"/>
      <c r="AA23" s="71"/>
    </row>
    <row r="24" spans="2:27" ht="18" customHeight="1">
      <c r="B24" s="141" t="s">
        <v>13</v>
      </c>
      <c r="C24" s="116">
        <f>SUM(D24:N24)</f>
        <v>6547.936870542741</v>
      </c>
      <c r="D24" s="142"/>
      <c r="E24" s="142"/>
      <c r="F24" s="142"/>
      <c r="G24" s="146">
        <v>1</v>
      </c>
      <c r="H24" s="146">
        <v>632.6138705427413</v>
      </c>
      <c r="I24" s="146">
        <v>5441</v>
      </c>
      <c r="J24" s="147">
        <v>216.417</v>
      </c>
      <c r="K24" s="147">
        <v>9</v>
      </c>
      <c r="L24" s="93">
        <v>68.184</v>
      </c>
      <c r="M24" s="93">
        <v>173.88400000000001</v>
      </c>
      <c r="N24" s="148">
        <v>5.838</v>
      </c>
      <c r="O24" s="145"/>
      <c r="P24" s="131"/>
      <c r="Q24" s="131"/>
      <c r="R24" s="131"/>
      <c r="S24" s="131"/>
      <c r="T24" s="139"/>
      <c r="U24" s="131"/>
      <c r="V24" s="131"/>
      <c r="W24" s="131"/>
      <c r="X24" s="131"/>
      <c r="Y24" s="129"/>
      <c r="Z24" s="129"/>
      <c r="AA24" s="71"/>
    </row>
    <row r="25" spans="2:31" s="63" customFormat="1" ht="18" customHeight="1">
      <c r="B25" s="140" t="s">
        <v>14</v>
      </c>
      <c r="C25" s="149">
        <f>C26+C27</f>
        <v>0</v>
      </c>
      <c r="D25" s="149">
        <f aca="true" t="shared" si="5" ref="D25:N25">D26+D27</f>
        <v>0</v>
      </c>
      <c r="E25" s="149">
        <f t="shared" si="5"/>
        <v>0</v>
      </c>
      <c r="F25" s="149">
        <f t="shared" si="5"/>
        <v>0</v>
      </c>
      <c r="G25" s="149">
        <f t="shared" si="5"/>
        <v>0</v>
      </c>
      <c r="H25" s="149">
        <f t="shared" si="5"/>
        <v>0</v>
      </c>
      <c r="I25" s="149">
        <f t="shared" si="5"/>
        <v>0</v>
      </c>
      <c r="J25" s="149">
        <f t="shared" si="5"/>
        <v>0</v>
      </c>
      <c r="K25" s="149">
        <f t="shared" si="5"/>
        <v>0</v>
      </c>
      <c r="L25" s="149">
        <f t="shared" si="5"/>
        <v>0</v>
      </c>
      <c r="M25" s="149">
        <f t="shared" si="5"/>
        <v>0</v>
      </c>
      <c r="N25" s="149">
        <f t="shared" si="5"/>
        <v>0</v>
      </c>
      <c r="O25" s="136"/>
      <c r="P25" s="123"/>
      <c r="Q25" s="123"/>
      <c r="R25" s="123"/>
      <c r="S25" s="123"/>
      <c r="T25" s="139"/>
      <c r="U25" s="123"/>
      <c r="V25" s="123"/>
      <c r="W25" s="123"/>
      <c r="X25" s="123"/>
      <c r="Y25" s="129"/>
      <c r="Z25" s="129"/>
      <c r="AA25" s="78"/>
      <c r="AB25" s="75"/>
      <c r="AE25" s="75"/>
    </row>
    <row r="26" spans="2:27" ht="18" customHeight="1">
      <c r="B26" s="141" t="s">
        <v>15</v>
      </c>
      <c r="C26" s="116"/>
      <c r="D26" s="142"/>
      <c r="E26" s="142"/>
      <c r="F26" s="142"/>
      <c r="G26" s="71"/>
      <c r="H26" s="91"/>
      <c r="I26" s="93"/>
      <c r="J26" s="143"/>
      <c r="K26" s="143"/>
      <c r="L26" s="91"/>
      <c r="M26" s="91"/>
      <c r="N26" s="144"/>
      <c r="O26" s="145"/>
      <c r="P26" s="131"/>
      <c r="Q26" s="131"/>
      <c r="R26" s="131"/>
      <c r="S26" s="131"/>
      <c r="T26" s="139"/>
      <c r="U26" s="131"/>
      <c r="V26" s="131"/>
      <c r="W26" s="131"/>
      <c r="X26" s="131"/>
      <c r="Y26" s="129"/>
      <c r="Z26" s="129"/>
      <c r="AA26" s="71"/>
    </row>
    <row r="27" spans="2:26" ht="18" customHeight="1">
      <c r="B27" s="141" t="s">
        <v>16</v>
      </c>
      <c r="C27" s="116"/>
      <c r="D27" s="142"/>
      <c r="E27" s="142"/>
      <c r="F27" s="142"/>
      <c r="G27" s="71"/>
      <c r="H27" s="91"/>
      <c r="I27" s="91"/>
      <c r="J27" s="143"/>
      <c r="K27" s="143"/>
      <c r="L27" s="91"/>
      <c r="M27" s="91"/>
      <c r="N27" s="144"/>
      <c r="O27" s="145"/>
      <c r="P27" s="131"/>
      <c r="Q27" s="131"/>
      <c r="R27" s="131"/>
      <c r="S27" s="131"/>
      <c r="T27" s="139"/>
      <c r="U27" s="131"/>
      <c r="V27" s="131"/>
      <c r="W27" s="131"/>
      <c r="X27" s="131"/>
      <c r="Y27" s="129"/>
      <c r="Z27" s="129"/>
    </row>
    <row r="28" spans="2:31" s="63" customFormat="1" ht="18" customHeight="1">
      <c r="B28" s="120" t="s">
        <v>17</v>
      </c>
      <c r="C28" s="116">
        <f aca="true" t="shared" si="6" ref="C28:C33">SUM(D28:N28)</f>
        <v>-627740.2557095003</v>
      </c>
      <c r="D28" s="150"/>
      <c r="E28" s="151">
        <v>-529680</v>
      </c>
      <c r="F28" s="150"/>
      <c r="G28" s="151">
        <v>-195</v>
      </c>
      <c r="H28" s="127">
        <v>-44445.73470950036</v>
      </c>
      <c r="I28" s="127">
        <v>-47375</v>
      </c>
      <c r="J28" s="127">
        <v>0</v>
      </c>
      <c r="K28" s="127">
        <v>-125</v>
      </c>
      <c r="L28" s="127">
        <v>-1060.09</v>
      </c>
      <c r="M28" s="127">
        <v>-4855.431</v>
      </c>
      <c r="N28" s="149">
        <v>-4</v>
      </c>
      <c r="O28" s="136"/>
      <c r="P28" s="123"/>
      <c r="Q28" s="136"/>
      <c r="R28" s="136"/>
      <c r="S28" s="136"/>
      <c r="T28" s="152"/>
      <c r="U28" s="123"/>
      <c r="V28" s="123"/>
      <c r="W28" s="123"/>
      <c r="X28" s="123"/>
      <c r="Y28" s="121"/>
      <c r="Z28" s="121"/>
      <c r="AB28" s="75"/>
      <c r="AE28" s="75"/>
    </row>
    <row r="29" spans="2:31" s="63" customFormat="1" ht="18" customHeight="1">
      <c r="B29" s="120" t="s">
        <v>18</v>
      </c>
      <c r="C29" s="116">
        <f t="shared" si="6"/>
        <v>139571.70784337167</v>
      </c>
      <c r="D29" s="116"/>
      <c r="E29" s="116">
        <v>11682</v>
      </c>
      <c r="F29" s="116">
        <v>-12456</v>
      </c>
      <c r="G29" s="116">
        <v>-37</v>
      </c>
      <c r="H29" s="116">
        <v>127718.50584337166</v>
      </c>
      <c r="I29" s="116">
        <v>12330</v>
      </c>
      <c r="J29" s="153">
        <v>7.112000000000023</v>
      </c>
      <c r="K29" s="153">
        <v>-42</v>
      </c>
      <c r="L29" s="127">
        <v>0</v>
      </c>
      <c r="M29" s="127">
        <v>368.96000000000004</v>
      </c>
      <c r="N29" s="149">
        <v>0.13</v>
      </c>
      <c r="O29" s="136"/>
      <c r="P29" s="123"/>
      <c r="Q29" s="136"/>
      <c r="R29" s="136"/>
      <c r="S29" s="136"/>
      <c r="T29" s="152"/>
      <c r="U29" s="123"/>
      <c r="V29" s="123"/>
      <c r="W29" s="123"/>
      <c r="X29" s="123"/>
      <c r="Y29" s="121"/>
      <c r="Z29" s="121"/>
      <c r="AB29" s="75"/>
      <c r="AE29" s="75"/>
    </row>
    <row r="30" spans="2:31" s="63" customFormat="1" ht="18" customHeight="1">
      <c r="B30" s="120" t="s">
        <v>19</v>
      </c>
      <c r="C30" s="116">
        <f t="shared" si="6"/>
        <v>44148.06324670469</v>
      </c>
      <c r="D30" s="154"/>
      <c r="E30" s="154"/>
      <c r="F30" s="154"/>
      <c r="G30" s="116">
        <v>0</v>
      </c>
      <c r="H30" s="116">
        <v>44112.189246704686</v>
      </c>
      <c r="I30" s="116">
        <v>0</v>
      </c>
      <c r="J30" s="153">
        <v>31.873999999999967</v>
      </c>
      <c r="K30" s="153">
        <v>4</v>
      </c>
      <c r="L30" s="127">
        <v>0</v>
      </c>
      <c r="M30" s="127">
        <v>0</v>
      </c>
      <c r="N30" s="149">
        <v>0</v>
      </c>
      <c r="O30" s="136"/>
      <c r="P30" s="123"/>
      <c r="Q30" s="136"/>
      <c r="R30" s="136"/>
      <c r="S30" s="136"/>
      <c r="T30" s="155"/>
      <c r="U30" s="123"/>
      <c r="V30" s="123"/>
      <c r="W30" s="123"/>
      <c r="X30" s="123"/>
      <c r="Y30" s="121"/>
      <c r="Z30" s="121"/>
      <c r="AB30" s="75"/>
      <c r="AE30" s="75"/>
    </row>
    <row r="31" spans="2:31" s="63" customFormat="1" ht="18" customHeight="1">
      <c r="B31" s="120" t="s">
        <v>20</v>
      </c>
      <c r="C31" s="116">
        <f t="shared" si="6"/>
        <v>13912.836686333252</v>
      </c>
      <c r="D31" s="154"/>
      <c r="E31" s="154"/>
      <c r="F31" s="154"/>
      <c r="G31" s="149">
        <f aca="true" t="shared" si="7" ref="G31:N31">G32+G33</f>
        <v>1201</v>
      </c>
      <c r="H31" s="149">
        <f t="shared" si="7"/>
        <v>4988.7496863332535</v>
      </c>
      <c r="I31" s="149">
        <f t="shared" si="7"/>
        <v>3314</v>
      </c>
      <c r="J31" s="149">
        <f t="shared" si="7"/>
        <v>-2.165000000000873</v>
      </c>
      <c r="K31" s="149">
        <f>K32+K33</f>
        <v>145</v>
      </c>
      <c r="L31" s="149">
        <f t="shared" si="7"/>
        <v>867.2280000000001</v>
      </c>
      <c r="M31" s="149">
        <f t="shared" si="7"/>
        <v>3239.2800000000007</v>
      </c>
      <c r="N31" s="149">
        <f t="shared" si="7"/>
        <v>159.74399999999997</v>
      </c>
      <c r="O31" s="136"/>
      <c r="P31" s="123"/>
      <c r="Q31" s="123"/>
      <c r="R31" s="123"/>
      <c r="S31" s="123"/>
      <c r="T31" s="155"/>
      <c r="U31" s="123"/>
      <c r="V31" s="123"/>
      <c r="W31" s="123"/>
      <c r="X31" s="123"/>
      <c r="Y31" s="121"/>
      <c r="Z31" s="121"/>
      <c r="AB31" s="75"/>
      <c r="AE31" s="75"/>
    </row>
    <row r="32" spans="2:26" ht="18" customHeight="1">
      <c r="B32" s="128" t="s">
        <v>21</v>
      </c>
      <c r="C32" s="116">
        <f t="shared" si="6"/>
        <v>12888.86849878054</v>
      </c>
      <c r="D32" s="156"/>
      <c r="E32" s="156"/>
      <c r="F32" s="156"/>
      <c r="G32" s="146">
        <v>1202</v>
      </c>
      <c r="H32" s="146">
        <v>4827.5894987805395</v>
      </c>
      <c r="I32" s="146">
        <v>2397</v>
      </c>
      <c r="J32" s="157">
        <v>-2.165000000000873</v>
      </c>
      <c r="K32" s="157">
        <v>294</v>
      </c>
      <c r="L32" s="93">
        <v>866.2280000000001</v>
      </c>
      <c r="M32" s="93">
        <v>3095.9890000000005</v>
      </c>
      <c r="N32" s="148">
        <v>208.22699999999998</v>
      </c>
      <c r="O32" s="145"/>
      <c r="P32" s="131"/>
      <c r="Q32" s="131"/>
      <c r="R32" s="131"/>
      <c r="S32" s="131"/>
      <c r="T32" s="155"/>
      <c r="U32" s="131"/>
      <c r="V32" s="131"/>
      <c r="W32" s="131"/>
      <c r="X32" s="131"/>
      <c r="Y32" s="158"/>
      <c r="Z32" s="158"/>
    </row>
    <row r="33" spans="2:26" ht="18" customHeight="1">
      <c r="B33" s="128" t="s">
        <v>22</v>
      </c>
      <c r="C33" s="116">
        <f t="shared" si="6"/>
        <v>1023.9681875527135</v>
      </c>
      <c r="D33" s="156"/>
      <c r="E33" s="156"/>
      <c r="F33" s="156"/>
      <c r="G33" s="146">
        <v>-1</v>
      </c>
      <c r="H33" s="146">
        <v>161.16018755271355</v>
      </c>
      <c r="I33" s="146">
        <v>917</v>
      </c>
      <c r="J33" s="147">
        <v>0</v>
      </c>
      <c r="K33" s="147">
        <v>-149</v>
      </c>
      <c r="L33" s="93">
        <v>1</v>
      </c>
      <c r="M33" s="93">
        <v>143.291</v>
      </c>
      <c r="N33" s="148">
        <v>-48.483</v>
      </c>
      <c r="O33" s="145"/>
      <c r="P33" s="131"/>
      <c r="Q33" s="131"/>
      <c r="R33" s="131"/>
      <c r="S33" s="131"/>
      <c r="T33" s="159"/>
      <c r="U33" s="131"/>
      <c r="V33" s="131"/>
      <c r="W33" s="131"/>
      <c r="X33" s="131"/>
      <c r="Y33" s="158"/>
      <c r="Z33" s="158"/>
    </row>
    <row r="34" spans="2:31" s="63" customFormat="1" ht="18" customHeight="1">
      <c r="B34" s="120" t="s">
        <v>23</v>
      </c>
      <c r="C34" s="154"/>
      <c r="D34" s="154"/>
      <c r="E34" s="154"/>
      <c r="F34" s="154"/>
      <c r="G34" s="78"/>
      <c r="H34" s="160"/>
      <c r="I34" s="160"/>
      <c r="J34" s="160"/>
      <c r="K34" s="160"/>
      <c r="L34" s="160"/>
      <c r="M34" s="160"/>
      <c r="N34" s="160"/>
      <c r="O34" s="125">
        <f aca="true" t="shared" si="8" ref="O34:Z34">O35+O36+O37</f>
        <v>0</v>
      </c>
      <c r="P34" s="125">
        <f t="shared" si="8"/>
        <v>0</v>
      </c>
      <c r="Q34" s="125">
        <f t="shared" si="8"/>
        <v>0</v>
      </c>
      <c r="R34" s="125">
        <f t="shared" si="8"/>
        <v>0</v>
      </c>
      <c r="S34" s="125"/>
      <c r="T34" s="125">
        <f t="shared" si="8"/>
        <v>0</v>
      </c>
      <c r="U34" s="125">
        <f t="shared" si="8"/>
        <v>0</v>
      </c>
      <c r="V34" s="125">
        <f t="shared" si="8"/>
        <v>0</v>
      </c>
      <c r="W34" s="125">
        <f t="shared" si="8"/>
        <v>0</v>
      </c>
      <c r="X34" s="125">
        <f t="shared" si="8"/>
        <v>0</v>
      </c>
      <c r="Y34" s="125">
        <f t="shared" si="8"/>
        <v>0</v>
      </c>
      <c r="Z34" s="125">
        <f t="shared" si="8"/>
        <v>0</v>
      </c>
      <c r="AB34" s="75"/>
      <c r="AE34" s="75"/>
    </row>
    <row r="35" spans="2:26" ht="18" customHeight="1">
      <c r="B35" s="128" t="s">
        <v>24</v>
      </c>
      <c r="C35" s="156"/>
      <c r="D35" s="156"/>
      <c r="E35" s="156"/>
      <c r="F35" s="156"/>
      <c r="G35" s="71"/>
      <c r="H35" s="91"/>
      <c r="I35" s="91"/>
      <c r="J35" s="143"/>
      <c r="K35" s="143"/>
      <c r="L35" s="91"/>
      <c r="M35" s="91"/>
      <c r="N35" s="144"/>
      <c r="O35" s="145"/>
      <c r="P35" s="131"/>
      <c r="Q35" s="131"/>
      <c r="R35" s="131"/>
      <c r="S35" s="131"/>
      <c r="T35" s="155"/>
      <c r="U35" s="131"/>
      <c r="V35" s="131"/>
      <c r="W35" s="131"/>
      <c r="X35" s="131"/>
      <c r="Y35" s="158"/>
      <c r="Z35" s="158"/>
    </row>
    <row r="36" spans="2:26" ht="18" customHeight="1">
      <c r="B36" s="128" t="s">
        <v>25</v>
      </c>
      <c r="C36" s="161"/>
      <c r="D36" s="161"/>
      <c r="E36" s="161"/>
      <c r="F36" s="161"/>
      <c r="G36" s="71"/>
      <c r="H36" s="91"/>
      <c r="I36" s="91"/>
      <c r="J36" s="91"/>
      <c r="K36" s="91"/>
      <c r="L36" s="91"/>
      <c r="M36" s="91"/>
      <c r="N36" s="144"/>
      <c r="O36" s="145"/>
      <c r="P36" s="131"/>
      <c r="Q36" s="131"/>
      <c r="R36" s="131"/>
      <c r="S36" s="131"/>
      <c r="T36" s="159"/>
      <c r="U36" s="131"/>
      <c r="V36" s="131"/>
      <c r="W36" s="131"/>
      <c r="X36" s="131"/>
      <c r="Y36" s="162"/>
      <c r="Z36" s="162"/>
    </row>
    <row r="37" spans="2:26" ht="18" customHeight="1">
      <c r="B37" s="128" t="s">
        <v>26</v>
      </c>
      <c r="C37" s="156"/>
      <c r="D37" s="156"/>
      <c r="E37" s="156"/>
      <c r="F37" s="156"/>
      <c r="G37" s="71"/>
      <c r="H37" s="91"/>
      <c r="I37" s="91"/>
      <c r="J37" s="143"/>
      <c r="K37" s="143"/>
      <c r="L37" s="91"/>
      <c r="M37" s="91"/>
      <c r="N37" s="144"/>
      <c r="O37" s="145"/>
      <c r="P37" s="131"/>
      <c r="Q37" s="131"/>
      <c r="R37" s="131"/>
      <c r="S37" s="131"/>
      <c r="T37" s="163"/>
      <c r="U37" s="131"/>
      <c r="V37" s="131"/>
      <c r="W37" s="131"/>
      <c r="X37" s="131"/>
      <c r="Y37" s="158"/>
      <c r="Z37" s="158"/>
    </row>
    <row r="38" spans="2:31" s="63" customFormat="1" ht="18" customHeight="1">
      <c r="B38" s="120" t="s">
        <v>27</v>
      </c>
      <c r="C38" s="121"/>
      <c r="D38" s="121"/>
      <c r="E38" s="121"/>
      <c r="F38" s="121"/>
      <c r="G38" s="122"/>
      <c r="H38" s="123"/>
      <c r="I38" s="123"/>
      <c r="J38" s="125"/>
      <c r="K38" s="125"/>
      <c r="L38" s="125"/>
      <c r="M38" s="125"/>
      <c r="N38" s="125"/>
      <c r="O38" s="160">
        <f aca="true" t="shared" si="9" ref="O38:Z38">O39+O40+O41</f>
        <v>0</v>
      </c>
      <c r="P38" s="160">
        <f t="shared" si="9"/>
        <v>0</v>
      </c>
      <c r="Q38" s="160">
        <f t="shared" si="9"/>
        <v>0</v>
      </c>
      <c r="R38" s="160">
        <f t="shared" si="9"/>
        <v>0</v>
      </c>
      <c r="S38" s="160"/>
      <c r="T38" s="160">
        <f t="shared" si="9"/>
        <v>0</v>
      </c>
      <c r="U38" s="160">
        <f t="shared" si="9"/>
        <v>0</v>
      </c>
      <c r="V38" s="160">
        <f t="shared" si="9"/>
        <v>0</v>
      </c>
      <c r="W38" s="160">
        <f t="shared" si="9"/>
        <v>0</v>
      </c>
      <c r="X38" s="160">
        <f t="shared" si="9"/>
        <v>0</v>
      </c>
      <c r="Y38" s="160">
        <f t="shared" si="9"/>
        <v>0</v>
      </c>
      <c r="Z38" s="160">
        <f t="shared" si="9"/>
        <v>0</v>
      </c>
      <c r="AB38" s="75"/>
      <c r="AE38" s="75"/>
    </row>
    <row r="39" spans="2:26" ht="18" customHeight="1">
      <c r="B39" s="128" t="s">
        <v>28</v>
      </c>
      <c r="C39" s="162"/>
      <c r="D39" s="162"/>
      <c r="E39" s="162"/>
      <c r="F39" s="162"/>
      <c r="G39" s="130"/>
      <c r="H39" s="131"/>
      <c r="I39" s="131"/>
      <c r="J39" s="131"/>
      <c r="K39" s="131"/>
      <c r="L39" s="131"/>
      <c r="M39" s="131"/>
      <c r="N39" s="133"/>
      <c r="O39" s="93"/>
      <c r="P39" s="91"/>
      <c r="Q39" s="91"/>
      <c r="R39" s="91"/>
      <c r="S39" s="91"/>
      <c r="T39" s="164"/>
      <c r="U39" s="91"/>
      <c r="V39" s="91"/>
      <c r="W39" s="91"/>
      <c r="X39" s="91"/>
      <c r="Y39" s="161"/>
      <c r="Z39" s="161"/>
    </row>
    <row r="40" spans="2:26" ht="18" customHeight="1">
      <c r="B40" s="128" t="s">
        <v>29</v>
      </c>
      <c r="C40" s="158"/>
      <c r="D40" s="158"/>
      <c r="E40" s="158"/>
      <c r="F40" s="158"/>
      <c r="G40" s="130"/>
      <c r="H40" s="131"/>
      <c r="I40" s="131"/>
      <c r="J40" s="165"/>
      <c r="K40" s="165"/>
      <c r="L40" s="131"/>
      <c r="M40" s="131"/>
      <c r="N40" s="133"/>
      <c r="O40" s="93"/>
      <c r="P40" s="91"/>
      <c r="Q40" s="91"/>
      <c r="R40" s="91"/>
      <c r="S40" s="91"/>
      <c r="T40" s="166"/>
      <c r="U40" s="91"/>
      <c r="V40" s="91"/>
      <c r="W40" s="91"/>
      <c r="X40" s="91"/>
      <c r="Y40" s="156"/>
      <c r="Z40" s="156"/>
    </row>
    <row r="41" spans="2:26" ht="18" customHeight="1">
      <c r="B41" s="128" t="s">
        <v>30</v>
      </c>
      <c r="C41" s="158"/>
      <c r="D41" s="158"/>
      <c r="E41" s="158"/>
      <c r="F41" s="158"/>
      <c r="G41" s="130"/>
      <c r="H41" s="131"/>
      <c r="I41" s="131"/>
      <c r="J41" s="165"/>
      <c r="K41" s="165"/>
      <c r="L41" s="131"/>
      <c r="M41" s="131"/>
      <c r="N41" s="133"/>
      <c r="O41" s="93"/>
      <c r="P41" s="91"/>
      <c r="Q41" s="91"/>
      <c r="R41" s="91"/>
      <c r="S41" s="91"/>
      <c r="T41" s="167"/>
      <c r="U41" s="91"/>
      <c r="V41" s="91"/>
      <c r="W41" s="91"/>
      <c r="X41" s="91"/>
      <c r="Y41" s="156"/>
      <c r="Z41" s="156"/>
    </row>
    <row r="42" spans="2:26" ht="18" customHeight="1">
      <c r="B42" s="168" t="s">
        <v>72</v>
      </c>
      <c r="C42" s="116"/>
      <c r="D42" s="78"/>
      <c r="E42" s="127">
        <v>51646</v>
      </c>
      <c r="F42" s="127">
        <v>-67804</v>
      </c>
      <c r="G42" s="78"/>
      <c r="H42" s="169"/>
      <c r="I42" s="169"/>
      <c r="J42" s="169"/>
      <c r="K42" s="169"/>
      <c r="L42" s="169"/>
      <c r="M42" s="169"/>
      <c r="N42" s="149"/>
      <c r="O42" s="127"/>
      <c r="P42" s="169"/>
      <c r="Q42" s="169"/>
      <c r="R42" s="169"/>
      <c r="S42" s="169"/>
      <c r="T42" s="167"/>
      <c r="U42" s="170"/>
      <c r="V42" s="170"/>
      <c r="W42" s="169"/>
      <c r="X42" s="169"/>
      <c r="Y42" s="171"/>
      <c r="Z42" s="171"/>
    </row>
    <row r="43" spans="2:31" s="63" customFormat="1" ht="18" customHeight="1">
      <c r="B43" s="120" t="s">
        <v>47</v>
      </c>
      <c r="C43" s="116" t="e">
        <f>SUM(D43:N43)</f>
        <v>#REF!</v>
      </c>
      <c r="D43" s="116" t="e">
        <f>#REF!+D42</f>
        <v>#REF!</v>
      </c>
      <c r="E43" s="116">
        <f>Y44-(E16+E29+E30+E31+E28)+E42</f>
        <v>184991</v>
      </c>
      <c r="F43" s="116">
        <f>X44-(F16+F29+F30+F31+F28)+F42</f>
        <v>-272995</v>
      </c>
      <c r="G43" s="116">
        <f>W44-(G16+G29+G30+G31+G28)+G42</f>
        <v>21531</v>
      </c>
      <c r="H43" s="116">
        <f>V44-(H16+H29+H30+H31+H28)+H42</f>
        <v>-343052.4150618415</v>
      </c>
      <c r="I43" s="116">
        <f>U44-(I16+I29+I30+I31+I28)+I42</f>
        <v>-81294</v>
      </c>
      <c r="J43" s="116">
        <f>T44-(J16+J29+J30+J31+J28)+J42</f>
        <v>34986.137</v>
      </c>
      <c r="K43" s="116">
        <f>R44-(K16+K29+K30+K31+K28)+K42</f>
        <v>17452</v>
      </c>
      <c r="L43" s="116">
        <f>Q44-(L16+L29+L30+L31+L28)+L42</f>
        <v>-953.5299999999997</v>
      </c>
      <c r="M43" s="172">
        <f>P44-(M16+M29+M30+M31+M28)+M42</f>
        <v>56378.235000000015</v>
      </c>
      <c r="N43" s="172">
        <f>O44-(N16+N29+N30+N31+N28)+N42</f>
        <v>29317.502</v>
      </c>
      <c r="O43" s="127"/>
      <c r="P43" s="169"/>
      <c r="Q43" s="169"/>
      <c r="R43" s="169"/>
      <c r="S43" s="169"/>
      <c r="T43" s="167"/>
      <c r="U43" s="170"/>
      <c r="V43" s="170"/>
      <c r="W43" s="169"/>
      <c r="X43" s="169"/>
      <c r="Y43" s="171"/>
      <c r="Z43" s="171"/>
      <c r="AB43" s="75"/>
      <c r="AE43" s="75"/>
    </row>
    <row r="44" spans="2:31" s="63" customFormat="1" ht="18" customHeight="1">
      <c r="B44" s="120" t="s">
        <v>48</v>
      </c>
      <c r="C44" s="158"/>
      <c r="D44" s="158"/>
      <c r="E44" s="158"/>
      <c r="F44" s="158"/>
      <c r="G44" s="130"/>
      <c r="H44" s="131"/>
      <c r="I44" s="131"/>
      <c r="J44" s="165"/>
      <c r="K44" s="165"/>
      <c r="L44" s="131"/>
      <c r="M44" s="131"/>
      <c r="N44" s="133"/>
      <c r="O44" s="127">
        <f>O13+(O34-O38)</f>
        <v>30399.78</v>
      </c>
      <c r="P44" s="127">
        <f>P13+(P34-P38)</f>
        <v>109447.84500000002</v>
      </c>
      <c r="Q44" s="127">
        <f aca="true" t="shared" si="10" ref="Q44:Z44">Q13+(Q34-Q38)</f>
        <v>-435.25599999999986</v>
      </c>
      <c r="R44" s="127">
        <f t="shared" si="10"/>
        <v>18281</v>
      </c>
      <c r="S44" s="127"/>
      <c r="T44" s="127">
        <f t="shared" si="10"/>
        <v>35457</v>
      </c>
      <c r="U44" s="127">
        <f t="shared" si="10"/>
        <v>119179</v>
      </c>
      <c r="V44" s="127">
        <f t="shared" si="10"/>
        <v>416055.26529049966</v>
      </c>
      <c r="W44" s="127">
        <f t="shared" si="10"/>
        <v>23923</v>
      </c>
      <c r="X44" s="127">
        <f t="shared" si="10"/>
        <v>63087</v>
      </c>
      <c r="Y44" s="127">
        <f t="shared" si="10"/>
        <v>273821</v>
      </c>
      <c r="Z44" s="127">
        <f t="shared" si="10"/>
        <v>1089215.6342904996</v>
      </c>
      <c r="AA44" s="75"/>
      <c r="AB44" s="75"/>
      <c r="AE44" s="75"/>
    </row>
    <row r="45" spans="2:26" ht="18" customHeight="1">
      <c r="B45" s="120" t="s">
        <v>73</v>
      </c>
      <c r="C45" s="173">
        <f>SUM(D45:N45)</f>
        <v>62913.69491976351</v>
      </c>
      <c r="D45" s="173">
        <v>416551</v>
      </c>
      <c r="E45" s="173">
        <v>184992.24715714506</v>
      </c>
      <c r="F45" s="173">
        <v>-272995</v>
      </c>
      <c r="G45" s="173">
        <v>21532</v>
      </c>
      <c r="H45" s="116">
        <v>-343052.56223738147</v>
      </c>
      <c r="I45" s="116">
        <v>-81294</v>
      </c>
      <c r="J45" s="116">
        <v>34986.225999999966</v>
      </c>
      <c r="K45" s="116">
        <v>17452</v>
      </c>
      <c r="L45" s="116">
        <v>-953.9699999999975</v>
      </c>
      <c r="M45" s="116">
        <v>56378.486999999965</v>
      </c>
      <c r="N45" s="172">
        <v>29317.266999999996</v>
      </c>
      <c r="O45" s="136"/>
      <c r="P45" s="123"/>
      <c r="Q45" s="123"/>
      <c r="R45" s="123"/>
      <c r="S45" s="123"/>
      <c r="T45" s="159"/>
      <c r="U45" s="174"/>
      <c r="V45" s="174"/>
      <c r="W45" s="123"/>
      <c r="X45" s="123"/>
      <c r="Y45" s="175"/>
      <c r="Z45" s="175"/>
    </row>
    <row r="46" spans="2:33" s="63" customFormat="1" ht="18" customHeight="1">
      <c r="B46" s="185" t="s">
        <v>50</v>
      </c>
      <c r="C46" s="86"/>
      <c r="D46" s="75"/>
      <c r="E46" s="64"/>
      <c r="F46" s="86"/>
      <c r="G46" s="64"/>
      <c r="H46" s="64"/>
      <c r="I46" s="64"/>
      <c r="J46" s="64"/>
      <c r="K46" s="64"/>
      <c r="L46" s="64"/>
      <c r="M46" s="86"/>
      <c r="N46" s="64"/>
      <c r="O46" s="82"/>
      <c r="P46" s="83"/>
      <c r="Q46" s="83"/>
      <c r="R46" s="83"/>
      <c r="S46" s="83"/>
      <c r="T46" s="82"/>
      <c r="W46" s="83"/>
      <c r="X46" s="83"/>
      <c r="AA46" s="84"/>
      <c r="AB46" s="85"/>
      <c r="AC46" s="84"/>
      <c r="AD46" s="84"/>
      <c r="AE46" s="85"/>
      <c r="AF46" s="84"/>
      <c r="AG46" s="84"/>
    </row>
    <row r="47" spans="2:24" ht="18" customHeight="1">
      <c r="B47" s="186" t="s">
        <v>165</v>
      </c>
      <c r="C47" s="70"/>
      <c r="D47" s="75"/>
      <c r="E47" s="70"/>
      <c r="F47" s="70"/>
      <c r="G47" s="87"/>
      <c r="H47" s="70"/>
      <c r="I47" s="88"/>
      <c r="L47" s="70"/>
      <c r="N47" s="65"/>
      <c r="P47" s="80"/>
      <c r="T47" s="90"/>
      <c r="U47" s="91"/>
      <c r="V47" s="91"/>
      <c r="W47" s="92"/>
      <c r="X47" s="92"/>
    </row>
    <row r="48" spans="3:24" ht="18" customHeight="1">
      <c r="C48" s="70"/>
      <c r="D48" s="75"/>
      <c r="G48" s="87"/>
      <c r="H48" s="70"/>
      <c r="I48" s="91"/>
      <c r="P48" s="80"/>
      <c r="T48" s="93"/>
      <c r="U48" s="91"/>
      <c r="V48" s="91"/>
      <c r="W48" s="94"/>
      <c r="X48" s="94"/>
    </row>
    <row r="49" spans="4:24" ht="18" customHeight="1">
      <c r="D49" s="75"/>
      <c r="G49" s="87"/>
      <c r="P49" s="80"/>
      <c r="T49" s="93"/>
      <c r="W49" s="94"/>
      <c r="X49" s="94"/>
    </row>
    <row r="50" spans="6:24" ht="18" customHeight="1">
      <c r="F50" s="70"/>
      <c r="G50" s="87"/>
      <c r="H50" s="70"/>
      <c r="W50" s="92"/>
      <c r="X50" s="92"/>
    </row>
    <row r="51" spans="7:24" ht="18" customHeight="1">
      <c r="G51" s="87"/>
      <c r="W51" s="94"/>
      <c r="X51" s="94"/>
    </row>
    <row r="52" spans="7:24" ht="18" customHeight="1">
      <c r="G52" s="71"/>
      <c r="H52" s="70"/>
      <c r="W52" s="91"/>
      <c r="X52" s="91"/>
    </row>
    <row r="53" ht="18" customHeight="1">
      <c r="G53" s="71"/>
    </row>
    <row r="54" ht="18" customHeight="1">
      <c r="H54" s="70"/>
    </row>
    <row r="58" spans="2:14" ht="18" customHeight="1">
      <c r="B58" s="71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67"/>
    </row>
    <row r="59" spans="4:14" ht="18" customHeight="1"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5" ht="18" customHeight="1">
      <c r="Y65" s="70"/>
    </row>
    <row r="66" ht="18" customHeight="1">
      <c r="Y66" s="70"/>
    </row>
  </sheetData>
  <sheetProtection/>
  <printOptions/>
  <pageMargins left="0.8" right="0.18" top="0.65" bottom="0.5" header="0.5" footer="0.5"/>
  <pageSetup horizontalDpi="600" verticalDpi="600" orientation="landscape" paperSize="5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6"/>
  <sheetViews>
    <sheetView showGridLines="0" tabSelected="1" view="pageBreakPreview" zoomScale="75" zoomScaleNormal="75" zoomScaleSheetLayoutView="75" zoomScalePageLayoutView="0" workbookViewId="0" topLeftCell="B1">
      <selection activeCell="F29" sqref="F29"/>
    </sheetView>
  </sheetViews>
  <sheetFormatPr defaultColWidth="9.140625" defaultRowHeight="18" customHeight="1"/>
  <cols>
    <col min="1" max="1" width="5.00390625" style="188" hidden="1" customWidth="1"/>
    <col min="2" max="2" width="66.421875" style="71" customWidth="1"/>
    <col min="3" max="3" width="13.7109375" style="93" customWidth="1"/>
    <col min="4" max="7" width="13.7109375" style="91" customWidth="1"/>
    <col min="8" max="8" width="13.7109375" style="93" customWidth="1"/>
    <col min="9" max="11" width="13.7109375" style="91" customWidth="1"/>
    <col min="12" max="12" width="13.7109375" style="71" customWidth="1"/>
    <col min="13" max="13" width="13.7109375" style="91" customWidth="1"/>
    <col min="14" max="14" width="10.421875" style="71" customWidth="1"/>
    <col min="15" max="15" width="39.57421875" style="72" hidden="1" customWidth="1"/>
    <col min="16" max="16" width="10.8515625" style="71" hidden="1" customWidth="1"/>
    <col min="17" max="17" width="29.140625" style="71" hidden="1" customWidth="1"/>
    <col min="18" max="18" width="10.8515625" style="72" hidden="1" customWidth="1"/>
    <col min="19" max="19" width="11.140625" style="71" hidden="1" customWidth="1"/>
    <col min="20" max="20" width="10.140625" style="71" hidden="1" customWidth="1"/>
    <col min="21" max="21" width="0" style="71" hidden="1" customWidth="1"/>
    <col min="22" max="16384" width="9.140625" style="71" customWidth="1"/>
  </cols>
  <sheetData>
    <row r="1" spans="2:13" ht="18" customHeight="1">
      <c r="B1" s="62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1"/>
    </row>
    <row r="2" spans="2:13" ht="18" customHeight="1">
      <c r="B2" s="196" t="s">
        <v>108</v>
      </c>
      <c r="C2" s="190"/>
      <c r="D2" s="71"/>
      <c r="F2" s="190"/>
      <c r="H2" s="190"/>
      <c r="I2" s="190"/>
      <c r="J2" s="190"/>
      <c r="K2" s="190"/>
      <c r="L2" s="190"/>
      <c r="M2" s="191"/>
    </row>
    <row r="3" spans="2:13" ht="18" customHeight="1">
      <c r="B3" s="196" t="s">
        <v>109</v>
      </c>
      <c r="C3" s="190"/>
      <c r="D3" s="190"/>
      <c r="E3" s="71"/>
      <c r="G3" s="190"/>
      <c r="I3" s="190"/>
      <c r="J3" s="190"/>
      <c r="K3" s="190"/>
      <c r="L3" s="190"/>
      <c r="M3" s="191"/>
    </row>
    <row r="4" spans="3:17" ht="18" customHeight="1" thickBot="1"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62" t="s">
        <v>205</v>
      </c>
      <c r="Q4" s="72"/>
    </row>
    <row r="5" spans="2:15" ht="18" customHeight="1" thickBot="1">
      <c r="B5" s="243" t="s">
        <v>166</v>
      </c>
      <c r="C5" s="237" t="s">
        <v>35</v>
      </c>
      <c r="D5" s="238"/>
      <c r="E5" s="238"/>
      <c r="F5" s="238"/>
      <c r="G5" s="239"/>
      <c r="H5" s="240" t="s">
        <v>164</v>
      </c>
      <c r="I5" s="241"/>
      <c r="J5" s="241"/>
      <c r="K5" s="241"/>
      <c r="L5" s="242"/>
      <c r="M5" s="236"/>
      <c r="O5" s="114" t="s">
        <v>110</v>
      </c>
    </row>
    <row r="6" spans="2:15" ht="18" customHeight="1">
      <c r="B6" s="244"/>
      <c r="C6" s="197" t="s">
        <v>150</v>
      </c>
      <c r="D6" s="117" t="s">
        <v>151</v>
      </c>
      <c r="E6" s="118" t="s">
        <v>152</v>
      </c>
      <c r="F6" s="117" t="s">
        <v>153</v>
      </c>
      <c r="G6" s="198" t="s">
        <v>154</v>
      </c>
      <c r="H6" s="213" t="s">
        <v>155</v>
      </c>
      <c r="I6" s="118" t="s">
        <v>156</v>
      </c>
      <c r="J6" s="118" t="s">
        <v>158</v>
      </c>
      <c r="K6" s="117" t="s">
        <v>159</v>
      </c>
      <c r="L6" s="198" t="s">
        <v>160</v>
      </c>
      <c r="M6" s="219"/>
      <c r="O6" s="114"/>
    </row>
    <row r="7" spans="2:15" ht="18" customHeight="1">
      <c r="B7" s="244"/>
      <c r="C7" s="199" t="s">
        <v>133</v>
      </c>
      <c r="D7" s="111" t="s">
        <v>135</v>
      </c>
      <c r="E7" s="111" t="s">
        <v>137</v>
      </c>
      <c r="F7" s="111" t="s">
        <v>124</v>
      </c>
      <c r="G7" s="200" t="s">
        <v>130</v>
      </c>
      <c r="H7" s="199" t="s">
        <v>212</v>
      </c>
      <c r="I7" s="111" t="s">
        <v>212</v>
      </c>
      <c r="J7" s="111" t="s">
        <v>206</v>
      </c>
      <c r="K7" s="111" t="s">
        <v>137</v>
      </c>
      <c r="L7" s="200" t="s">
        <v>148</v>
      </c>
      <c r="M7" s="220" t="s">
        <v>162</v>
      </c>
      <c r="O7" s="114"/>
    </row>
    <row r="8" spans="2:15" ht="18" customHeight="1">
      <c r="B8" s="244"/>
      <c r="C8" s="199" t="s">
        <v>132</v>
      </c>
      <c r="D8" s="111" t="s">
        <v>211</v>
      </c>
      <c r="E8" s="111" t="s">
        <v>136</v>
      </c>
      <c r="F8" s="111" t="s">
        <v>125</v>
      </c>
      <c r="G8" s="200" t="s">
        <v>131</v>
      </c>
      <c r="H8" s="199" t="s">
        <v>139</v>
      </c>
      <c r="I8" s="111" t="s">
        <v>214</v>
      </c>
      <c r="J8" s="111" t="s">
        <v>143</v>
      </c>
      <c r="K8" s="111" t="s">
        <v>147</v>
      </c>
      <c r="L8" s="200" t="s">
        <v>149</v>
      </c>
      <c r="M8" s="221"/>
      <c r="O8" s="114"/>
    </row>
    <row r="9" spans="1:18" s="73" customFormat="1" ht="18" customHeight="1" thickBot="1">
      <c r="A9" s="189" t="s">
        <v>167</v>
      </c>
      <c r="B9" s="245"/>
      <c r="C9" s="225" t="s">
        <v>121</v>
      </c>
      <c r="D9" s="226" t="s">
        <v>210</v>
      </c>
      <c r="E9" s="226" t="s">
        <v>123</v>
      </c>
      <c r="F9" s="226" t="s">
        <v>161</v>
      </c>
      <c r="G9" s="227" t="s">
        <v>161</v>
      </c>
      <c r="H9" s="225" t="s">
        <v>213</v>
      </c>
      <c r="I9" s="226" t="s">
        <v>127</v>
      </c>
      <c r="J9" s="226" t="s">
        <v>207</v>
      </c>
      <c r="K9" s="226" t="s">
        <v>128</v>
      </c>
      <c r="L9" s="227" t="s">
        <v>129</v>
      </c>
      <c r="M9" s="228"/>
      <c r="O9" s="114" t="s">
        <v>111</v>
      </c>
      <c r="R9" s="74"/>
    </row>
    <row r="10" spans="1:22" s="78" customFormat="1" ht="18" customHeight="1">
      <c r="A10" s="192" t="s">
        <v>170</v>
      </c>
      <c r="B10" s="229" t="s">
        <v>169</v>
      </c>
      <c r="C10" s="201">
        <v>130229.69200000001</v>
      </c>
      <c r="D10" s="127">
        <v>-10902</v>
      </c>
      <c r="E10" s="127">
        <v>-878</v>
      </c>
      <c r="F10" s="127">
        <v>25641</v>
      </c>
      <c r="G10" s="202">
        <v>73895</v>
      </c>
      <c r="H10" s="205">
        <v>246495.59999999998</v>
      </c>
      <c r="I10" s="127">
        <v>119479</v>
      </c>
      <c r="J10" s="127">
        <v>-141800</v>
      </c>
      <c r="K10" s="127">
        <v>943770</v>
      </c>
      <c r="L10" s="202">
        <v>872270</v>
      </c>
      <c r="M10" s="222">
        <v>2258200.292</v>
      </c>
      <c r="N10" s="151"/>
      <c r="O10" s="114" t="s">
        <v>112</v>
      </c>
      <c r="R10" s="151"/>
      <c r="V10" s="71"/>
    </row>
    <row r="11" spans="1:15" ht="18" customHeight="1">
      <c r="A11" s="192" t="s">
        <v>171</v>
      </c>
      <c r="B11" s="230" t="s">
        <v>3</v>
      </c>
      <c r="C11" s="203">
        <v>32959.122</v>
      </c>
      <c r="D11" s="93">
        <v>-6654</v>
      </c>
      <c r="E11" s="93">
        <v>16393</v>
      </c>
      <c r="F11" s="93">
        <v>20343</v>
      </c>
      <c r="G11" s="204">
        <v>0</v>
      </c>
      <c r="H11" s="203">
        <v>143566.91999999998</v>
      </c>
      <c r="I11" s="93">
        <v>72357</v>
      </c>
      <c r="J11" s="93"/>
      <c r="K11" s="93"/>
      <c r="L11" s="204">
        <v>0</v>
      </c>
      <c r="M11" s="222">
        <v>278965.042</v>
      </c>
      <c r="O11" s="114" t="s">
        <v>113</v>
      </c>
    </row>
    <row r="12" spans="1:15" ht="18" customHeight="1">
      <c r="A12" s="192" t="s">
        <v>172</v>
      </c>
      <c r="B12" s="230" t="s">
        <v>4</v>
      </c>
      <c r="C12" s="203">
        <v>97270.57</v>
      </c>
      <c r="D12" s="93">
        <v>-4248</v>
      </c>
      <c r="E12" s="93">
        <v>-17271</v>
      </c>
      <c r="F12" s="93">
        <v>5298</v>
      </c>
      <c r="G12" s="204">
        <v>73895</v>
      </c>
      <c r="H12" s="203">
        <v>102928.68</v>
      </c>
      <c r="I12" s="93">
        <v>47122</v>
      </c>
      <c r="J12" s="93">
        <v>-141800</v>
      </c>
      <c r="K12" s="93">
        <v>943770</v>
      </c>
      <c r="L12" s="204">
        <v>872270</v>
      </c>
      <c r="M12" s="222">
        <v>1979235.25</v>
      </c>
      <c r="O12" s="114" t="s">
        <v>114</v>
      </c>
    </row>
    <row r="13" spans="1:18" s="78" customFormat="1" ht="18" customHeight="1">
      <c r="A13" s="192" t="s">
        <v>173</v>
      </c>
      <c r="B13" s="229" t="s">
        <v>17</v>
      </c>
      <c r="C13" s="205">
        <v>9791.892</v>
      </c>
      <c r="D13" s="127">
        <v>-304</v>
      </c>
      <c r="E13" s="127">
        <v>202</v>
      </c>
      <c r="F13" s="127">
        <v>-177</v>
      </c>
      <c r="G13" s="202">
        <v>911</v>
      </c>
      <c r="H13" s="205">
        <v>152134.65</v>
      </c>
      <c r="I13" s="127">
        <v>78948</v>
      </c>
      <c r="J13" s="127"/>
      <c r="K13" s="127">
        <v>469503</v>
      </c>
      <c r="L13" s="202"/>
      <c r="M13" s="222">
        <v>711009.542</v>
      </c>
      <c r="O13" s="187"/>
      <c r="R13" s="151"/>
    </row>
    <row r="14" spans="1:22" s="78" customFormat="1" ht="18" customHeight="1">
      <c r="A14" s="192" t="s">
        <v>174</v>
      </c>
      <c r="B14" s="229" t="s">
        <v>168</v>
      </c>
      <c r="C14" s="206">
        <v>120437.80000000002</v>
      </c>
      <c r="D14" s="134">
        <v>-10598</v>
      </c>
      <c r="E14" s="134">
        <v>-1080</v>
      </c>
      <c r="F14" s="134">
        <v>25818</v>
      </c>
      <c r="G14" s="207">
        <v>72984</v>
      </c>
      <c r="H14" s="206">
        <v>94360.94999999998</v>
      </c>
      <c r="I14" s="134">
        <v>40531</v>
      </c>
      <c r="J14" s="134">
        <v>-141800</v>
      </c>
      <c r="K14" s="134">
        <v>474267</v>
      </c>
      <c r="L14" s="207">
        <v>872270</v>
      </c>
      <c r="M14" s="222">
        <v>1547190.75</v>
      </c>
      <c r="O14" s="114" t="s">
        <v>115</v>
      </c>
      <c r="Q14" s="173" t="s">
        <v>52</v>
      </c>
      <c r="R14" s="173">
        <v>842222</v>
      </c>
      <c r="S14" s="193">
        <v>944424</v>
      </c>
      <c r="T14" s="78">
        <v>1161500</v>
      </c>
      <c r="V14" s="71"/>
    </row>
    <row r="15" spans="1:22" s="78" customFormat="1" ht="18" customHeight="1">
      <c r="A15" s="192" t="s">
        <v>175</v>
      </c>
      <c r="B15" s="231" t="s">
        <v>46</v>
      </c>
      <c r="C15" s="203"/>
      <c r="D15" s="93"/>
      <c r="E15" s="93"/>
      <c r="F15" s="93"/>
      <c r="G15" s="204"/>
      <c r="H15" s="203"/>
      <c r="I15" s="93"/>
      <c r="J15" s="93"/>
      <c r="K15" s="93"/>
      <c r="L15" s="204"/>
      <c r="M15" s="222">
        <v>0</v>
      </c>
      <c r="O15" s="114" t="s">
        <v>116</v>
      </c>
      <c r="Q15" s="194" t="s">
        <v>53</v>
      </c>
      <c r="R15" s="173">
        <v>-45864</v>
      </c>
      <c r="S15" s="173">
        <v>7026</v>
      </c>
      <c r="T15" s="78">
        <v>37014</v>
      </c>
      <c r="V15" s="71"/>
    </row>
    <row r="16" spans="1:22" s="78" customFormat="1" ht="18" customHeight="1">
      <c r="A16" s="192" t="s">
        <v>176</v>
      </c>
      <c r="B16" s="229" t="s">
        <v>43</v>
      </c>
      <c r="C16" s="205">
        <v>64925.774000000005</v>
      </c>
      <c r="D16" s="127">
        <v>4094</v>
      </c>
      <c r="E16" s="127">
        <v>-1544</v>
      </c>
      <c r="F16" s="127">
        <v>683</v>
      </c>
      <c r="G16" s="202">
        <v>377</v>
      </c>
      <c r="H16" s="205">
        <v>559374.0299999999</v>
      </c>
      <c r="I16" s="127">
        <v>261295.45699999997</v>
      </c>
      <c r="J16" s="127">
        <v>353001</v>
      </c>
      <c r="K16" s="127">
        <v>1015502</v>
      </c>
      <c r="L16" s="202">
        <v>0</v>
      </c>
      <c r="M16" s="222">
        <v>2257708.261</v>
      </c>
      <c r="O16" s="114" t="s">
        <v>117</v>
      </c>
      <c r="Q16" s="173" t="s">
        <v>54</v>
      </c>
      <c r="R16" s="173">
        <v>200971</v>
      </c>
      <c r="S16" s="173">
        <v>3095</v>
      </c>
      <c r="T16" s="78">
        <v>320985</v>
      </c>
      <c r="V16" s="71"/>
    </row>
    <row r="17" spans="1:20" s="78" customFormat="1" ht="18" customHeight="1">
      <c r="A17" s="192" t="s">
        <v>177</v>
      </c>
      <c r="B17" s="232" t="s">
        <v>5</v>
      </c>
      <c r="C17" s="205">
        <v>51068.304000000004</v>
      </c>
      <c r="D17" s="127">
        <v>1130</v>
      </c>
      <c r="E17" s="127">
        <v>-111</v>
      </c>
      <c r="F17" s="127">
        <v>556</v>
      </c>
      <c r="G17" s="202">
        <v>461</v>
      </c>
      <c r="H17" s="205">
        <v>409590.8999999999</v>
      </c>
      <c r="I17" s="127">
        <v>211955.278</v>
      </c>
      <c r="J17" s="127">
        <v>353001</v>
      </c>
      <c r="K17" s="127">
        <v>1062357</v>
      </c>
      <c r="L17" s="202">
        <v>0</v>
      </c>
      <c r="M17" s="223">
        <v>2090008.4819999998</v>
      </c>
      <c r="O17" s="187" t="s">
        <v>118</v>
      </c>
      <c r="Q17" s="78" t="s">
        <v>55</v>
      </c>
      <c r="R17" s="151">
        <f>R14-R15-R16</f>
        <v>687115</v>
      </c>
      <c r="S17" s="151">
        <f>S14-S15-S16</f>
        <v>934303</v>
      </c>
      <c r="T17" s="151">
        <f>T14-T15-T16</f>
        <v>803501</v>
      </c>
    </row>
    <row r="18" spans="1:22" s="78" customFormat="1" ht="18" customHeight="1">
      <c r="A18" s="192" t="s">
        <v>178</v>
      </c>
      <c r="B18" s="233" t="s">
        <v>6</v>
      </c>
      <c r="C18" s="205">
        <v>24385.575000000004</v>
      </c>
      <c r="D18" s="127">
        <v>1133</v>
      </c>
      <c r="E18" s="127">
        <v>-93</v>
      </c>
      <c r="F18" s="127">
        <v>542</v>
      </c>
      <c r="G18" s="202">
        <v>390</v>
      </c>
      <c r="H18" s="205">
        <v>402805.4399999999</v>
      </c>
      <c r="I18" s="127">
        <v>197763.324</v>
      </c>
      <c r="J18" s="127">
        <v>353001</v>
      </c>
      <c r="K18" s="127">
        <v>1062357</v>
      </c>
      <c r="L18" s="202">
        <v>0</v>
      </c>
      <c r="M18" s="222">
        <v>0</v>
      </c>
      <c r="O18" s="114" t="s">
        <v>119</v>
      </c>
      <c r="R18" s="151"/>
      <c r="V18" s="71"/>
    </row>
    <row r="19" spans="1:15" ht="18" customHeight="1">
      <c r="A19" s="192" t="s">
        <v>179</v>
      </c>
      <c r="B19" s="234" t="s">
        <v>7</v>
      </c>
      <c r="C19" s="203"/>
      <c r="D19" s="93"/>
      <c r="E19" s="93"/>
      <c r="F19" s="93"/>
      <c r="G19" s="204"/>
      <c r="H19" s="203"/>
      <c r="I19" s="93"/>
      <c r="J19" s="93"/>
      <c r="K19" s="93"/>
      <c r="L19" s="204"/>
      <c r="M19" s="222">
        <v>0</v>
      </c>
      <c r="O19" s="114" t="s">
        <v>120</v>
      </c>
    </row>
    <row r="20" spans="1:16" ht="18" customHeight="1">
      <c r="A20" s="192" t="s">
        <v>180</v>
      </c>
      <c r="B20" s="234" t="s">
        <v>8</v>
      </c>
      <c r="C20" s="203">
        <v>39894.617000000006</v>
      </c>
      <c r="D20" s="93">
        <v>1910</v>
      </c>
      <c r="E20" s="93">
        <v>1175</v>
      </c>
      <c r="F20" s="93">
        <v>1345</v>
      </c>
      <c r="G20" s="204">
        <v>844</v>
      </c>
      <c r="H20" s="203">
        <v>557018.3699999999</v>
      </c>
      <c r="I20" s="93">
        <v>204926.625</v>
      </c>
      <c r="J20" s="93">
        <v>353001</v>
      </c>
      <c r="K20" s="93">
        <v>1062357</v>
      </c>
      <c r="L20" s="204"/>
      <c r="M20" s="222">
        <v>2222471.6119999997</v>
      </c>
      <c r="P20" s="72"/>
    </row>
    <row r="21" spans="1:13" ht="18" customHeight="1">
      <c r="A21" s="192" t="s">
        <v>181</v>
      </c>
      <c r="B21" s="234" t="s">
        <v>9</v>
      </c>
      <c r="C21" s="203">
        <v>15509.042</v>
      </c>
      <c r="D21" s="93">
        <v>777</v>
      </c>
      <c r="E21" s="93">
        <v>1268</v>
      </c>
      <c r="F21" s="93">
        <v>803</v>
      </c>
      <c r="G21" s="204">
        <v>454</v>
      </c>
      <c r="H21" s="203">
        <v>154212.93</v>
      </c>
      <c r="I21" s="93">
        <v>7163.3009999999995</v>
      </c>
      <c r="J21" s="93"/>
      <c r="K21" s="93"/>
      <c r="L21" s="204"/>
      <c r="M21" s="222">
        <v>180187.27300000002</v>
      </c>
    </row>
    <row r="22" spans="1:22" s="78" customFormat="1" ht="18" customHeight="1">
      <c r="A22" s="192" t="s">
        <v>182</v>
      </c>
      <c r="B22" s="233" t="s">
        <v>10</v>
      </c>
      <c r="C22" s="205">
        <v>26682.729000000003</v>
      </c>
      <c r="D22" s="127">
        <v>-3</v>
      </c>
      <c r="E22" s="127">
        <v>-18</v>
      </c>
      <c r="F22" s="127">
        <v>14</v>
      </c>
      <c r="G22" s="202">
        <v>71</v>
      </c>
      <c r="H22" s="205">
        <v>6785.459999999999</v>
      </c>
      <c r="I22" s="127">
        <v>14191.953999999998</v>
      </c>
      <c r="J22" s="127">
        <v>0</v>
      </c>
      <c r="K22" s="127">
        <v>0</v>
      </c>
      <c r="L22" s="202">
        <v>0</v>
      </c>
      <c r="M22" s="222">
        <v>47724.143</v>
      </c>
      <c r="O22" s="151"/>
      <c r="R22" s="151"/>
      <c r="V22" s="71"/>
    </row>
    <row r="23" spans="1:13" ht="18" customHeight="1">
      <c r="A23" s="192" t="s">
        <v>183</v>
      </c>
      <c r="B23" s="234" t="s">
        <v>11</v>
      </c>
      <c r="C23" s="203"/>
      <c r="D23" s="93"/>
      <c r="E23" s="93"/>
      <c r="F23" s="93"/>
      <c r="G23" s="204"/>
      <c r="H23" s="203"/>
      <c r="I23" s="93"/>
      <c r="J23" s="93"/>
      <c r="K23" s="93"/>
      <c r="L23" s="204"/>
      <c r="M23" s="222">
        <v>0</v>
      </c>
    </row>
    <row r="24" spans="1:13" ht="18" customHeight="1">
      <c r="A24" s="192" t="s">
        <v>184</v>
      </c>
      <c r="B24" s="234" t="s">
        <v>12</v>
      </c>
      <c r="C24" s="203">
        <v>27484.439000000002</v>
      </c>
      <c r="D24" s="93">
        <v>151</v>
      </c>
      <c r="E24" s="93">
        <v>105</v>
      </c>
      <c r="F24" s="93">
        <v>15</v>
      </c>
      <c r="G24" s="204">
        <v>193</v>
      </c>
      <c r="H24" s="203">
        <v>7615.529999999999</v>
      </c>
      <c r="I24" s="93">
        <v>20740.05</v>
      </c>
      <c r="J24" s="93"/>
      <c r="K24" s="93"/>
      <c r="L24" s="204"/>
      <c r="M24" s="222">
        <v>56304.019</v>
      </c>
    </row>
    <row r="25" spans="1:13" ht="18" customHeight="1">
      <c r="A25" s="192" t="s">
        <v>185</v>
      </c>
      <c r="B25" s="234" t="s">
        <v>13</v>
      </c>
      <c r="C25" s="203">
        <v>801.71</v>
      </c>
      <c r="D25" s="93">
        <v>154</v>
      </c>
      <c r="E25" s="93">
        <v>123</v>
      </c>
      <c r="F25" s="93">
        <v>1</v>
      </c>
      <c r="G25" s="204">
        <v>122</v>
      </c>
      <c r="H25" s="203">
        <v>830.0699999999999</v>
      </c>
      <c r="I25" s="93">
        <v>6548.0960000000005</v>
      </c>
      <c r="J25" s="93"/>
      <c r="K25" s="93"/>
      <c r="L25" s="204"/>
      <c r="M25" s="222">
        <v>8579.876</v>
      </c>
    </row>
    <row r="26" spans="1:22" s="78" customFormat="1" ht="18" customHeight="1">
      <c r="A26" s="192" t="s">
        <v>186</v>
      </c>
      <c r="B26" s="233" t="s">
        <v>14</v>
      </c>
      <c r="C26" s="205">
        <v>0</v>
      </c>
      <c r="D26" s="127">
        <v>0</v>
      </c>
      <c r="E26" s="127">
        <v>0</v>
      </c>
      <c r="F26" s="127">
        <v>0</v>
      </c>
      <c r="G26" s="202">
        <v>0</v>
      </c>
      <c r="H26" s="205">
        <v>0</v>
      </c>
      <c r="I26" s="127">
        <v>0</v>
      </c>
      <c r="J26" s="127">
        <v>0</v>
      </c>
      <c r="K26" s="127">
        <v>0</v>
      </c>
      <c r="L26" s="202">
        <v>0</v>
      </c>
      <c r="M26" s="222">
        <v>0</v>
      </c>
      <c r="O26" s="151"/>
      <c r="R26" s="151"/>
      <c r="V26" s="71"/>
    </row>
    <row r="27" spans="1:13" ht="18" customHeight="1">
      <c r="A27" s="192" t="s">
        <v>187</v>
      </c>
      <c r="B27" s="234" t="s">
        <v>15</v>
      </c>
      <c r="C27" s="203"/>
      <c r="D27" s="93"/>
      <c r="E27" s="93"/>
      <c r="F27" s="93"/>
      <c r="G27" s="204"/>
      <c r="H27" s="203"/>
      <c r="I27" s="93"/>
      <c r="J27" s="93"/>
      <c r="K27" s="93"/>
      <c r="L27" s="204"/>
      <c r="M27" s="222">
        <v>0</v>
      </c>
    </row>
    <row r="28" spans="1:13" ht="18" customHeight="1">
      <c r="A28" s="192" t="s">
        <v>188</v>
      </c>
      <c r="B28" s="234" t="s">
        <v>16</v>
      </c>
      <c r="C28" s="203"/>
      <c r="D28" s="93"/>
      <c r="E28" s="93"/>
      <c r="F28" s="93"/>
      <c r="G28" s="204"/>
      <c r="H28" s="203"/>
      <c r="I28" s="93"/>
      <c r="J28" s="93"/>
      <c r="K28" s="93"/>
      <c r="L28" s="204"/>
      <c r="M28" s="222">
        <v>0</v>
      </c>
    </row>
    <row r="29" spans="1:18" s="78" customFormat="1" ht="18" customHeight="1">
      <c r="A29" s="192" t="s">
        <v>189</v>
      </c>
      <c r="B29" s="229" t="s">
        <v>18</v>
      </c>
      <c r="C29" s="205">
        <v>407.194</v>
      </c>
      <c r="D29" s="127">
        <v>0</v>
      </c>
      <c r="E29" s="127">
        <v>-62</v>
      </c>
      <c r="F29" s="127">
        <v>0</v>
      </c>
      <c r="G29" s="202">
        <v>9</v>
      </c>
      <c r="H29" s="205">
        <v>144119.61</v>
      </c>
      <c r="I29" s="127">
        <v>42098.278999999995</v>
      </c>
      <c r="J29" s="127"/>
      <c r="K29" s="127">
        <v>-18872</v>
      </c>
      <c r="L29" s="202"/>
      <c r="M29" s="222">
        <v>167700.08299999998</v>
      </c>
      <c r="O29" s="151"/>
      <c r="R29" s="151"/>
    </row>
    <row r="30" spans="1:18" s="78" customFormat="1" ht="18" customHeight="1">
      <c r="A30" s="192" t="s">
        <v>190</v>
      </c>
      <c r="B30" s="229" t="s">
        <v>19</v>
      </c>
      <c r="C30" s="205">
        <v>0</v>
      </c>
      <c r="D30" s="127">
        <v>0</v>
      </c>
      <c r="E30" s="127">
        <v>-5</v>
      </c>
      <c r="F30" s="127">
        <v>0</v>
      </c>
      <c r="G30" s="202">
        <v>-94</v>
      </c>
      <c r="H30" s="205">
        <v>2355.66</v>
      </c>
      <c r="I30" s="127">
        <v>0</v>
      </c>
      <c r="J30" s="127"/>
      <c r="K30" s="127">
        <v>-2257</v>
      </c>
      <c r="L30" s="202"/>
      <c r="M30" s="222">
        <v>-0.3400000000001455</v>
      </c>
      <c r="O30" s="151"/>
      <c r="R30" s="151"/>
    </row>
    <row r="31" spans="1:18" s="78" customFormat="1" ht="18" customHeight="1">
      <c r="A31" s="192" t="s">
        <v>191</v>
      </c>
      <c r="B31" s="229" t="s">
        <v>20</v>
      </c>
      <c r="C31" s="205">
        <v>13450.276000000002</v>
      </c>
      <c r="D31" s="127">
        <v>2964</v>
      </c>
      <c r="E31" s="127">
        <v>-1366</v>
      </c>
      <c r="F31" s="127">
        <v>127</v>
      </c>
      <c r="G31" s="202">
        <v>1</v>
      </c>
      <c r="H31" s="205">
        <v>3307.8599999999997</v>
      </c>
      <c r="I31" s="127">
        <v>7241.9</v>
      </c>
      <c r="J31" s="127">
        <v>0</v>
      </c>
      <c r="K31" s="127">
        <v>-25726</v>
      </c>
      <c r="L31" s="202">
        <v>0</v>
      </c>
      <c r="M31" s="222">
        <v>0.03600000000005821</v>
      </c>
      <c r="O31" s="151"/>
      <c r="R31" s="151"/>
    </row>
    <row r="32" spans="1:13" ht="18" customHeight="1">
      <c r="A32" s="192" t="s">
        <v>192</v>
      </c>
      <c r="B32" s="230" t="s">
        <v>21</v>
      </c>
      <c r="C32" s="203">
        <v>12841.238000000001</v>
      </c>
      <c r="D32" s="93">
        <v>2891</v>
      </c>
      <c r="E32" s="93">
        <v>-1459</v>
      </c>
      <c r="F32" s="93">
        <v>127</v>
      </c>
      <c r="G32" s="204">
        <v>1</v>
      </c>
      <c r="H32" s="203">
        <v>3583.1699999999996</v>
      </c>
      <c r="I32" s="93">
        <v>5612.459999999999</v>
      </c>
      <c r="J32" s="93"/>
      <c r="K32" s="93">
        <v>-23597</v>
      </c>
      <c r="L32" s="204"/>
      <c r="M32" s="222">
        <v>-0.1320000000014261</v>
      </c>
    </row>
    <row r="33" spans="1:13" ht="18" customHeight="1">
      <c r="A33" s="192" t="s">
        <v>193</v>
      </c>
      <c r="B33" s="230" t="s">
        <v>22</v>
      </c>
      <c r="C33" s="203">
        <v>609.038</v>
      </c>
      <c r="D33" s="93">
        <v>73</v>
      </c>
      <c r="E33" s="93">
        <v>93</v>
      </c>
      <c r="F33" s="93">
        <v>0</v>
      </c>
      <c r="G33" s="204">
        <v>0</v>
      </c>
      <c r="H33" s="203">
        <v>-275.30999999999995</v>
      </c>
      <c r="I33" s="93">
        <v>1629.44</v>
      </c>
      <c r="J33" s="93"/>
      <c r="K33" s="93">
        <v>-2129</v>
      </c>
      <c r="L33" s="204"/>
      <c r="M33" s="222">
        <v>0.16800000000012005</v>
      </c>
    </row>
    <row r="34" spans="1:18" s="78" customFormat="1" ht="18" customHeight="1">
      <c r="A34" s="192" t="s">
        <v>194</v>
      </c>
      <c r="B34" s="229" t="s">
        <v>23</v>
      </c>
      <c r="C34" s="205">
        <v>0</v>
      </c>
      <c r="D34" s="127">
        <v>0</v>
      </c>
      <c r="E34" s="127">
        <v>0</v>
      </c>
      <c r="F34" s="127">
        <v>0</v>
      </c>
      <c r="G34" s="202">
        <v>0</v>
      </c>
      <c r="H34" s="205">
        <v>0</v>
      </c>
      <c r="I34" s="127">
        <v>0</v>
      </c>
      <c r="J34" s="127">
        <v>0</v>
      </c>
      <c r="K34" s="127">
        <v>0</v>
      </c>
      <c r="L34" s="202">
        <v>0</v>
      </c>
      <c r="M34" s="222">
        <v>0</v>
      </c>
      <c r="O34" s="151"/>
      <c r="R34" s="151"/>
    </row>
    <row r="35" spans="1:13" ht="18" customHeight="1">
      <c r="A35" s="192" t="s">
        <v>195</v>
      </c>
      <c r="B35" s="230" t="s">
        <v>24</v>
      </c>
      <c r="C35" s="203"/>
      <c r="D35" s="93"/>
      <c r="E35" s="93"/>
      <c r="F35" s="93"/>
      <c r="G35" s="204"/>
      <c r="H35" s="203"/>
      <c r="I35" s="93"/>
      <c r="J35" s="93"/>
      <c r="K35" s="93"/>
      <c r="L35" s="204"/>
      <c r="M35" s="222">
        <v>0</v>
      </c>
    </row>
    <row r="36" spans="1:13" ht="18" customHeight="1">
      <c r="A36" s="192" t="s">
        <v>196</v>
      </c>
      <c r="B36" s="230" t="s">
        <v>25</v>
      </c>
      <c r="C36" s="203"/>
      <c r="D36" s="93"/>
      <c r="E36" s="93"/>
      <c r="F36" s="93"/>
      <c r="G36" s="204"/>
      <c r="H36" s="203"/>
      <c r="I36" s="93"/>
      <c r="J36" s="93"/>
      <c r="K36" s="93"/>
      <c r="L36" s="204"/>
      <c r="M36" s="222">
        <v>0</v>
      </c>
    </row>
    <row r="37" spans="1:13" ht="18" customHeight="1">
      <c r="A37" s="192" t="s">
        <v>197</v>
      </c>
      <c r="B37" s="230" t="s">
        <v>26</v>
      </c>
      <c r="C37" s="203"/>
      <c r="D37" s="93"/>
      <c r="E37" s="93"/>
      <c r="F37" s="93"/>
      <c r="G37" s="204"/>
      <c r="H37" s="203"/>
      <c r="I37" s="93"/>
      <c r="J37" s="93"/>
      <c r="K37" s="93"/>
      <c r="L37" s="204"/>
      <c r="M37" s="222">
        <v>0</v>
      </c>
    </row>
    <row r="38" spans="1:18" s="78" customFormat="1" ht="18" customHeight="1">
      <c r="A38" s="192" t="s">
        <v>198</v>
      </c>
      <c r="B38" s="229" t="s">
        <v>27</v>
      </c>
      <c r="C38" s="208">
        <v>0</v>
      </c>
      <c r="D38" s="149">
        <v>0</v>
      </c>
      <c r="E38" s="149">
        <v>0</v>
      </c>
      <c r="F38" s="149">
        <v>0</v>
      </c>
      <c r="G38" s="209">
        <v>0</v>
      </c>
      <c r="H38" s="208">
        <v>0</v>
      </c>
      <c r="I38" s="149">
        <v>0</v>
      </c>
      <c r="J38" s="149">
        <v>0</v>
      </c>
      <c r="K38" s="149">
        <v>0</v>
      </c>
      <c r="L38" s="209">
        <v>0</v>
      </c>
      <c r="M38" s="222">
        <v>0</v>
      </c>
      <c r="O38" s="151"/>
      <c r="R38" s="151"/>
    </row>
    <row r="39" spans="1:13" ht="18" customHeight="1">
      <c r="A39" s="192" t="s">
        <v>199</v>
      </c>
      <c r="B39" s="230" t="s">
        <v>28</v>
      </c>
      <c r="C39" s="203"/>
      <c r="D39" s="93"/>
      <c r="E39" s="93"/>
      <c r="F39" s="93"/>
      <c r="G39" s="204"/>
      <c r="H39" s="214"/>
      <c r="I39" s="93"/>
      <c r="J39" s="93"/>
      <c r="K39" s="93"/>
      <c r="L39" s="215"/>
      <c r="M39" s="222">
        <v>0</v>
      </c>
    </row>
    <row r="40" spans="1:13" ht="18" customHeight="1">
      <c r="A40" s="192" t="s">
        <v>200</v>
      </c>
      <c r="B40" s="230" t="s">
        <v>29</v>
      </c>
      <c r="C40" s="203"/>
      <c r="D40" s="93"/>
      <c r="E40" s="93"/>
      <c r="F40" s="93"/>
      <c r="G40" s="204"/>
      <c r="H40" s="216"/>
      <c r="I40" s="93"/>
      <c r="J40" s="93"/>
      <c r="K40" s="93"/>
      <c r="L40" s="217"/>
      <c r="M40" s="222">
        <v>0</v>
      </c>
    </row>
    <row r="41" spans="1:13" ht="18" customHeight="1">
      <c r="A41" s="192" t="s">
        <v>201</v>
      </c>
      <c r="B41" s="230" t="s">
        <v>30</v>
      </c>
      <c r="C41" s="203"/>
      <c r="D41" s="93"/>
      <c r="E41" s="93"/>
      <c r="F41" s="93"/>
      <c r="G41" s="204"/>
      <c r="H41" s="218"/>
      <c r="I41" s="93"/>
      <c r="J41" s="93"/>
      <c r="K41" s="93"/>
      <c r="L41" s="217"/>
      <c r="M41" s="222">
        <v>0</v>
      </c>
    </row>
    <row r="42" spans="1:18" s="78" customFormat="1" ht="18" customHeight="1">
      <c r="A42" s="192" t="s">
        <v>202</v>
      </c>
      <c r="B42" s="229" t="s">
        <v>208</v>
      </c>
      <c r="C42" s="205">
        <v>65303.918000000005</v>
      </c>
      <c r="D42" s="127">
        <v>-14996</v>
      </c>
      <c r="E42" s="127">
        <v>666</v>
      </c>
      <c r="F42" s="127">
        <v>24958</v>
      </c>
      <c r="G42" s="202">
        <v>73518</v>
      </c>
      <c r="H42" s="205">
        <v>-312878.42999999993</v>
      </c>
      <c r="I42" s="127">
        <v>-141816.45699999997</v>
      </c>
      <c r="J42" s="127">
        <v>-494801</v>
      </c>
      <c r="K42" s="127">
        <v>-71732</v>
      </c>
      <c r="L42" s="202">
        <v>872270</v>
      </c>
      <c r="M42" s="222">
        <v>492.03100000007544</v>
      </c>
      <c r="O42" s="151"/>
      <c r="R42" s="151"/>
    </row>
    <row r="43" spans="1:18" s="78" customFormat="1" ht="18" customHeight="1">
      <c r="A43" s="192" t="s">
        <v>203</v>
      </c>
      <c r="B43" s="229" t="s">
        <v>48</v>
      </c>
      <c r="C43" s="205">
        <v>120437.80000000002</v>
      </c>
      <c r="D43" s="127">
        <v>-10598</v>
      </c>
      <c r="E43" s="127">
        <v>-1080</v>
      </c>
      <c r="F43" s="127">
        <v>25818</v>
      </c>
      <c r="G43" s="202">
        <v>72984</v>
      </c>
      <c r="H43" s="205">
        <v>94360.94999999998</v>
      </c>
      <c r="I43" s="127">
        <v>40531</v>
      </c>
      <c r="J43" s="127">
        <v>-141800</v>
      </c>
      <c r="K43" s="127">
        <v>474267</v>
      </c>
      <c r="L43" s="202">
        <v>872270</v>
      </c>
      <c r="M43" s="222">
        <v>1547190.75</v>
      </c>
      <c r="N43" s="151"/>
      <c r="O43" s="151"/>
      <c r="R43" s="151"/>
    </row>
    <row r="44" spans="1:13" ht="18" customHeight="1">
      <c r="A44" s="192" t="s">
        <v>204</v>
      </c>
      <c r="B44" s="229" t="s">
        <v>209</v>
      </c>
      <c r="C44" s="208">
        <v>65303.92007000011</v>
      </c>
      <c r="D44" s="149">
        <v>-14995.953000000001</v>
      </c>
      <c r="E44" s="149">
        <v>665.8699999999662</v>
      </c>
      <c r="F44" s="149">
        <v>24957.996000000006</v>
      </c>
      <c r="G44" s="209">
        <v>73518</v>
      </c>
      <c r="H44" s="208">
        <v>-312877.98615599994</v>
      </c>
      <c r="I44" s="149">
        <v>-141816.30099999992</v>
      </c>
      <c r="J44" s="149">
        <v>-767715.8530700002</v>
      </c>
      <c r="K44" s="149">
        <v>271621.76374799997</v>
      </c>
      <c r="L44" s="209">
        <v>872276</v>
      </c>
      <c r="M44" s="222">
        <v>70937.45659200009</v>
      </c>
    </row>
    <row r="45" spans="1:13" ht="18" customHeight="1" thickBot="1">
      <c r="A45" s="192">
        <v>36</v>
      </c>
      <c r="B45" s="235" t="s">
        <v>72</v>
      </c>
      <c r="C45" s="210">
        <v>0.0020700001041404903</v>
      </c>
      <c r="D45" s="211">
        <v>0.046999999998661224</v>
      </c>
      <c r="E45" s="211">
        <v>-0.13000000003376044</v>
      </c>
      <c r="F45" s="211">
        <v>-0.00399999999353895</v>
      </c>
      <c r="G45" s="212">
        <v>0</v>
      </c>
      <c r="H45" s="210">
        <v>0.4438439999939874</v>
      </c>
      <c r="I45" s="211">
        <v>0.1560000000463333</v>
      </c>
      <c r="J45" s="211">
        <v>-272914.8530700002</v>
      </c>
      <c r="K45" s="211">
        <v>343353.76374799997</v>
      </c>
      <c r="L45" s="212">
        <v>6</v>
      </c>
      <c r="M45" s="224">
        <v>70445.4255919999</v>
      </c>
    </row>
    <row r="46" spans="1:20" s="78" customFormat="1" ht="18" customHeight="1">
      <c r="A46" s="195"/>
      <c r="B46" s="144"/>
      <c r="C46" s="127"/>
      <c r="D46" s="169"/>
      <c r="E46" s="169"/>
      <c r="F46" s="169"/>
      <c r="G46" s="169"/>
      <c r="H46" s="127"/>
      <c r="J46" s="169"/>
      <c r="K46" s="169"/>
      <c r="M46" s="169"/>
      <c r="N46" s="160"/>
      <c r="O46" s="149"/>
      <c r="P46" s="160"/>
      <c r="Q46" s="160"/>
      <c r="R46" s="149"/>
      <c r="S46" s="160"/>
      <c r="T46" s="160"/>
    </row>
    <row r="47" spans="2:11" ht="18" customHeight="1">
      <c r="B47" s="144"/>
      <c r="D47" s="93"/>
      <c r="H47" s="146"/>
      <c r="J47" s="92"/>
      <c r="K47" s="92"/>
    </row>
    <row r="48" spans="4:11" ht="18" customHeight="1">
      <c r="D48" s="93"/>
      <c r="J48" s="94"/>
      <c r="K48" s="94"/>
    </row>
    <row r="49" spans="4:11" ht="18" customHeight="1">
      <c r="D49" s="93"/>
      <c r="J49" s="94"/>
      <c r="K49" s="94"/>
    </row>
    <row r="50" spans="10:11" ht="18" customHeight="1">
      <c r="J50" s="92"/>
      <c r="K50" s="92"/>
    </row>
    <row r="51" spans="10:11" ht="18" customHeight="1">
      <c r="J51" s="94"/>
      <c r="K51" s="94"/>
    </row>
    <row r="65" ht="18" customHeight="1">
      <c r="L65" s="72"/>
    </row>
    <row r="66" ht="18" customHeight="1">
      <c r="L66" s="72"/>
    </row>
  </sheetData>
  <sheetProtection/>
  <mergeCells count="3">
    <mergeCell ref="C5:G5"/>
    <mergeCell ref="H5:L5"/>
    <mergeCell ref="B5:B9"/>
  </mergeCells>
  <printOptions/>
  <pageMargins left="0" right="0.2" top="0.48" bottom="0.5" header="0.25" footer="0.5"/>
  <pageSetup horizontalDpi="600" verticalDpi="600" orientation="landscape" scale="5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34"/>
  <sheetViews>
    <sheetView view="pageBreakPreview" zoomScale="76" zoomScaleNormal="75" zoomScaleSheetLayoutView="76" zoomScalePageLayoutView="0" workbookViewId="0" topLeftCell="E1">
      <selection activeCell="M7" sqref="M7"/>
    </sheetView>
  </sheetViews>
  <sheetFormatPr defaultColWidth="9.140625" defaultRowHeight="12.75"/>
  <cols>
    <col min="1" max="1" width="60.140625" style="98" bestFit="1" customWidth="1"/>
    <col min="2" max="3" width="11.57421875" style="6" customWidth="1"/>
    <col min="4" max="4" width="13.00390625" style="6" bestFit="1" customWidth="1"/>
    <col min="5" max="7" width="8.7109375" style="6" customWidth="1"/>
    <col min="8" max="8" width="9.8515625" style="6" customWidth="1"/>
    <col min="9" max="9" width="9.7109375" style="6" bestFit="1" customWidth="1"/>
    <col min="10" max="10" width="10.8515625" style="6" bestFit="1" customWidth="1"/>
    <col min="11" max="11" width="9.8515625" style="6" bestFit="1" customWidth="1"/>
    <col min="12" max="14" width="8.7109375" style="6" customWidth="1"/>
    <col min="15" max="15" width="12.7109375" style="6" bestFit="1" customWidth="1"/>
    <col min="16" max="16" width="8.7109375" style="6" customWidth="1"/>
    <col min="17" max="22" width="9.7109375" style="6" customWidth="1"/>
    <col min="23" max="23" width="10.57421875" style="6" bestFit="1" customWidth="1"/>
    <col min="24" max="30" width="9.7109375" style="6" customWidth="1"/>
    <col min="31" max="31" width="11.28125" style="6" bestFit="1" customWidth="1"/>
    <col min="32" max="16384" width="9.140625" style="6" customWidth="1"/>
  </cols>
  <sheetData>
    <row r="2" spans="2:31" ht="44.25" customHeight="1">
      <c r="B2" s="246" t="s">
        <v>75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</row>
    <row r="3" spans="1:31" ht="14.25" customHeight="1" thickBot="1">
      <c r="A3" s="99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S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56" t="s">
        <v>45</v>
      </c>
    </row>
    <row r="4" spans="1:31" ht="21.75" customHeight="1">
      <c r="A4" s="100"/>
      <c r="B4" s="47" t="s">
        <v>34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8"/>
      <c r="Q4" s="43" t="s">
        <v>31</v>
      </c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5"/>
    </row>
    <row r="5" spans="1:31" ht="28.5" customHeight="1">
      <c r="A5" s="101"/>
      <c r="B5" s="61"/>
      <c r="C5" s="58"/>
      <c r="D5" s="59"/>
      <c r="E5" s="247" t="s">
        <v>37</v>
      </c>
      <c r="F5" s="248"/>
      <c r="G5" s="248"/>
      <c r="H5" s="249"/>
      <c r="I5" s="250" t="s">
        <v>36</v>
      </c>
      <c r="J5" s="251"/>
      <c r="K5" s="247" t="s">
        <v>35</v>
      </c>
      <c r="L5" s="248"/>
      <c r="M5" s="248"/>
      <c r="N5" s="248"/>
      <c r="O5" s="248"/>
      <c r="P5" s="249"/>
      <c r="Q5" s="247" t="s">
        <v>35</v>
      </c>
      <c r="R5" s="248"/>
      <c r="S5" s="248"/>
      <c r="T5" s="248"/>
      <c r="U5" s="248"/>
      <c r="V5" s="249"/>
      <c r="W5" s="250" t="s">
        <v>36</v>
      </c>
      <c r="X5" s="251"/>
      <c r="Y5" s="247" t="s">
        <v>37</v>
      </c>
      <c r="Z5" s="248"/>
      <c r="AA5" s="248"/>
      <c r="AB5" s="249"/>
      <c r="AC5" s="46"/>
      <c r="AD5" s="42"/>
      <c r="AE5" s="60"/>
    </row>
    <row r="6" spans="1:31" ht="54" customHeight="1">
      <c r="A6" s="102" t="s">
        <v>42</v>
      </c>
      <c r="B6" s="7" t="s">
        <v>38</v>
      </c>
      <c r="C6" s="8" t="s">
        <v>32</v>
      </c>
      <c r="D6" s="8" t="s">
        <v>84</v>
      </c>
      <c r="E6" s="8" t="s">
        <v>82</v>
      </c>
      <c r="F6" s="8" t="s">
        <v>86</v>
      </c>
      <c r="G6" s="8" t="s">
        <v>87</v>
      </c>
      <c r="H6" s="8" t="s">
        <v>83</v>
      </c>
      <c r="I6" s="8" t="s">
        <v>81</v>
      </c>
      <c r="J6" s="8" t="s">
        <v>33</v>
      </c>
      <c r="K6" s="8" t="s">
        <v>79</v>
      </c>
      <c r="L6" s="8" t="s">
        <v>77</v>
      </c>
      <c r="M6" s="8" t="s">
        <v>49</v>
      </c>
      <c r="N6" s="8" t="s">
        <v>39</v>
      </c>
      <c r="O6" s="8" t="s">
        <v>40</v>
      </c>
      <c r="P6" s="8" t="s">
        <v>76</v>
      </c>
      <c r="Q6" s="8" t="s">
        <v>76</v>
      </c>
      <c r="R6" s="8" t="s">
        <v>40</v>
      </c>
      <c r="S6" s="8" t="s">
        <v>39</v>
      </c>
      <c r="T6" s="8" t="s">
        <v>49</v>
      </c>
      <c r="U6" s="8" t="s">
        <v>77</v>
      </c>
      <c r="V6" s="8" t="s">
        <v>79</v>
      </c>
      <c r="W6" s="8" t="s">
        <v>78</v>
      </c>
      <c r="X6" s="8" t="s">
        <v>80</v>
      </c>
      <c r="Y6" s="8" t="s">
        <v>83</v>
      </c>
      <c r="Z6" s="8" t="s">
        <v>85</v>
      </c>
      <c r="AA6" s="8" t="s">
        <v>86</v>
      </c>
      <c r="AB6" s="8" t="s">
        <v>82</v>
      </c>
      <c r="AC6" s="8" t="s">
        <v>84</v>
      </c>
      <c r="AD6" s="8" t="s">
        <v>32</v>
      </c>
      <c r="AE6" s="9" t="s">
        <v>38</v>
      </c>
    </row>
    <row r="7" spans="1:31" ht="30" customHeight="1">
      <c r="A7" s="103" t="s">
        <v>1</v>
      </c>
      <c r="B7" s="49"/>
      <c r="C7" s="49"/>
      <c r="D7" s="49"/>
      <c r="E7" s="49"/>
      <c r="F7" s="49"/>
      <c r="G7" s="50"/>
      <c r="H7" s="49"/>
      <c r="I7" s="49"/>
      <c r="J7" s="49"/>
      <c r="K7" s="49"/>
      <c r="L7" s="49"/>
      <c r="M7" s="49"/>
      <c r="N7" s="50"/>
      <c r="O7" s="49"/>
      <c r="P7" s="49"/>
      <c r="Q7" s="12">
        <f>P8-Q9</f>
        <v>-132.25359423451698</v>
      </c>
      <c r="R7" s="10">
        <f>O8-R9</f>
        <v>56378.48700000008</v>
      </c>
      <c r="S7" s="10">
        <f>N8-S9</f>
        <v>-953.9699999999975</v>
      </c>
      <c r="T7" s="10">
        <f>M8-T9</f>
        <v>17452</v>
      </c>
      <c r="U7" s="10">
        <f>L8-U9</f>
        <v>29317.26699999999</v>
      </c>
      <c r="V7" s="10">
        <f>K8-V9</f>
        <v>34986.2462249223</v>
      </c>
      <c r="W7" s="10">
        <f>J8-W9</f>
        <v>-343052.56223738147</v>
      </c>
      <c r="X7" s="10">
        <f>I8-X9</f>
        <v>-81294</v>
      </c>
      <c r="Y7" s="12">
        <f>H8-Y9</f>
        <v>-107</v>
      </c>
      <c r="Z7" s="12">
        <f>G8-Z9</f>
        <v>860</v>
      </c>
      <c r="AA7" s="12">
        <f>F8-AA9</f>
        <v>-273855</v>
      </c>
      <c r="AB7" s="12">
        <f>E8-AB9</f>
        <v>21639</v>
      </c>
      <c r="AC7" s="12" t="e">
        <f>D8-AC9</f>
        <v>#REF!</v>
      </c>
      <c r="AD7" s="12">
        <f>C8-AD9</f>
        <v>416551</v>
      </c>
      <c r="AE7" s="14" t="e">
        <f>B8-AE9</f>
        <v>#REF!</v>
      </c>
    </row>
    <row r="8" spans="1:31" ht="30" customHeight="1">
      <c r="A8" s="103" t="s">
        <v>88</v>
      </c>
      <c r="B8" s="11" t="e">
        <f>B11+B15+B18+B21+B28+B23+B10</f>
        <v>#REF!</v>
      </c>
      <c r="C8" s="12">
        <f>C11+C15+C18+C21+C28+C23</f>
        <v>684808</v>
      </c>
      <c r="D8" s="12" t="e">
        <f>D11+D15+D18+D21+D28+D23</f>
        <v>#REF!</v>
      </c>
      <c r="E8" s="12">
        <f aca="true" t="shared" si="0" ref="E8:P8">E11+E15+E18+E21+E28+E23</f>
        <v>22201</v>
      </c>
      <c r="F8" s="12">
        <f t="shared" si="0"/>
        <v>85405</v>
      </c>
      <c r="G8" s="12">
        <f t="shared" si="0"/>
        <v>37292</v>
      </c>
      <c r="H8" s="12">
        <f t="shared" si="0"/>
        <v>1550</v>
      </c>
      <c r="I8" s="12">
        <f>I11+I15+I18+I21+I28+I23</f>
        <v>157528</v>
      </c>
      <c r="J8" s="12">
        <f>J11+J15+J18+J21+J28+J23</f>
        <v>-27202.195427859202</v>
      </c>
      <c r="K8" s="12">
        <f>K11+K15+K18+K21+K28+K23+K10+K22</f>
        <v>398087.38822492235</v>
      </c>
      <c r="L8" s="12">
        <f>L11+L15+L18+L21+L28+L23+L10</f>
        <v>35167.70399999999</v>
      </c>
      <c r="M8" s="12">
        <f t="shared" si="0"/>
        <v>121026</v>
      </c>
      <c r="N8" s="12">
        <f t="shared" si="0"/>
        <v>27984.193000000003</v>
      </c>
      <c r="O8" s="12">
        <f>O11+O15+O18+O21+O28+O23+O22</f>
        <v>993487.743</v>
      </c>
      <c r="P8" s="12">
        <f t="shared" si="0"/>
        <v>466.43023752450677</v>
      </c>
      <c r="Q8" s="50"/>
      <c r="R8" s="49"/>
      <c r="S8" s="49"/>
      <c r="T8" s="50"/>
      <c r="U8" s="49"/>
      <c r="V8" s="50"/>
      <c r="W8" s="49"/>
      <c r="X8" s="50"/>
      <c r="Y8" s="49"/>
      <c r="Z8" s="49"/>
      <c r="AA8" s="49"/>
      <c r="AB8" s="49"/>
      <c r="AC8" s="50"/>
      <c r="AD8" s="57"/>
      <c r="AE8" s="49"/>
    </row>
    <row r="9" spans="1:31" ht="30" customHeight="1">
      <c r="A9" s="103" t="s">
        <v>89</v>
      </c>
      <c r="B9" s="50"/>
      <c r="C9" s="57"/>
      <c r="D9" s="49"/>
      <c r="E9" s="49"/>
      <c r="F9" s="50"/>
      <c r="G9" s="49"/>
      <c r="H9" s="50"/>
      <c r="I9" s="49"/>
      <c r="J9" s="49"/>
      <c r="K9" s="49"/>
      <c r="L9" s="50"/>
      <c r="M9" s="49"/>
      <c r="N9" s="49"/>
      <c r="O9" s="50"/>
      <c r="P9" s="49"/>
      <c r="Q9" s="12">
        <f>Q10+Q11+Q15+Q18+Q21+Q28+Q23</f>
        <v>598.6838317590237</v>
      </c>
      <c r="R9" s="12">
        <f>R10+R11+R15+R18+R21+R28+R23+R22</f>
        <v>937109.2559999999</v>
      </c>
      <c r="S9" s="12">
        <f aca="true" t="shared" si="1" ref="S9:AD9">S10+S11+S15+S18+S21+S28+S23</f>
        <v>28938.163</v>
      </c>
      <c r="T9" s="12">
        <f t="shared" si="1"/>
        <v>103574</v>
      </c>
      <c r="U9" s="12">
        <f t="shared" si="1"/>
        <v>5850.437000000002</v>
      </c>
      <c r="V9" s="12">
        <f>V10+V11+V15+V18+V21+V28+V23+V22</f>
        <v>363101.14200000005</v>
      </c>
      <c r="W9" s="12">
        <f>W10+W11+W15+W18+W21+W28+W23</f>
        <v>315850.36680952227</v>
      </c>
      <c r="X9" s="12">
        <f>X10+X11+X15+X18+X21+X28+X23</f>
        <v>238822</v>
      </c>
      <c r="Y9" s="12">
        <f t="shared" si="1"/>
        <v>1657</v>
      </c>
      <c r="Z9" s="12">
        <f t="shared" si="1"/>
        <v>36432</v>
      </c>
      <c r="AA9" s="12">
        <f t="shared" si="1"/>
        <v>359260</v>
      </c>
      <c r="AB9" s="12">
        <f t="shared" si="1"/>
        <v>562</v>
      </c>
      <c r="AC9" s="12" t="e">
        <f t="shared" si="1"/>
        <v>#REF!</v>
      </c>
      <c r="AD9" s="12">
        <f t="shared" si="1"/>
        <v>268257</v>
      </c>
      <c r="AE9" s="14" t="e">
        <f>AE10+AE11+AE15+AE18+AE21+AE23+AE28</f>
        <v>#REF!</v>
      </c>
    </row>
    <row r="10" spans="1:31" s="16" customFormat="1" ht="30" customHeight="1">
      <c r="A10" s="104" t="s">
        <v>90</v>
      </c>
      <c r="B10" s="11">
        <f>SUM(C10:P10)</f>
        <v>4600.241999999999</v>
      </c>
      <c r="C10" s="54"/>
      <c r="D10" s="12"/>
      <c r="E10" s="12"/>
      <c r="F10" s="12"/>
      <c r="G10" s="12"/>
      <c r="H10" s="12"/>
      <c r="I10" s="12"/>
      <c r="J10" s="12"/>
      <c r="K10" s="12">
        <v>4600.241999999999</v>
      </c>
      <c r="L10" s="12">
        <v>0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51">
        <v>-668</v>
      </c>
      <c r="AE10" s="14">
        <f>SUM(Q10:AD10)</f>
        <v>-668</v>
      </c>
    </row>
    <row r="11" spans="1:31" ht="30" customHeight="1">
      <c r="A11" s="104" t="s">
        <v>91</v>
      </c>
      <c r="B11" s="11">
        <f aca="true" t="shared" si="2" ref="B11:P11">SUM(B12:B14)</f>
        <v>1261206.123902713</v>
      </c>
      <c r="C11" s="12">
        <f t="shared" si="2"/>
        <v>6991</v>
      </c>
      <c r="D11" s="12">
        <f t="shared" si="2"/>
        <v>415821.56825283606</v>
      </c>
      <c r="E11" s="12">
        <f t="shared" si="2"/>
        <v>8080</v>
      </c>
      <c r="F11" s="12">
        <f t="shared" si="2"/>
        <v>28337</v>
      </c>
      <c r="G11" s="12">
        <f t="shared" si="2"/>
        <v>35767</v>
      </c>
      <c r="H11" s="12">
        <f t="shared" si="2"/>
        <v>5586</v>
      </c>
      <c r="I11" s="12">
        <f>SUM(I12:I14)</f>
        <v>55688</v>
      </c>
      <c r="J11" s="12">
        <f>SUM(J12:J14)</f>
        <v>232956</v>
      </c>
      <c r="K11" s="12">
        <f t="shared" si="2"/>
        <v>216858.53499999997</v>
      </c>
      <c r="L11" s="12">
        <f t="shared" si="2"/>
        <v>2839.187</v>
      </c>
      <c r="M11" s="12">
        <f t="shared" si="2"/>
        <v>59750</v>
      </c>
      <c r="N11" s="12">
        <f t="shared" si="2"/>
        <v>921.2860000000003</v>
      </c>
      <c r="O11" s="12">
        <f t="shared" si="2"/>
        <v>191271.967</v>
      </c>
      <c r="P11" s="12">
        <f t="shared" si="2"/>
        <v>338.58064987689863</v>
      </c>
      <c r="Q11" s="12">
        <f>Q12+Q13+Q14</f>
        <v>0.923</v>
      </c>
      <c r="R11" s="12">
        <f aca="true" t="shared" si="3" ref="R11:AD11">R12+R13+R14</f>
        <v>690347.2980000001</v>
      </c>
      <c r="S11" s="12">
        <f t="shared" si="3"/>
        <v>1152.5949999999993</v>
      </c>
      <c r="T11" s="12">
        <f t="shared" si="3"/>
        <v>-257</v>
      </c>
      <c r="U11" s="12">
        <f t="shared" si="3"/>
        <v>1039.986</v>
      </c>
      <c r="V11" s="12">
        <f t="shared" si="3"/>
        <v>212003.797</v>
      </c>
      <c r="W11" s="12">
        <f>W12+W13+W14</f>
        <v>485.8802500702848</v>
      </c>
      <c r="X11" s="12">
        <f>X12+X13+X14</f>
        <v>12867</v>
      </c>
      <c r="Y11" s="12">
        <f t="shared" si="3"/>
        <v>42</v>
      </c>
      <c r="Z11" s="12">
        <f t="shared" si="3"/>
        <v>0</v>
      </c>
      <c r="AA11" s="12">
        <f t="shared" si="3"/>
        <v>26127</v>
      </c>
      <c r="AB11" s="12">
        <f t="shared" si="3"/>
        <v>88</v>
      </c>
      <c r="AC11" s="12">
        <f t="shared" si="3"/>
        <v>0</v>
      </c>
      <c r="AD11" s="12">
        <f t="shared" si="3"/>
        <v>245371</v>
      </c>
      <c r="AE11" s="14">
        <f>AE12+AE13+AE14</f>
        <v>1189268.4792500704</v>
      </c>
    </row>
    <row r="12" spans="1:31" ht="30" customHeight="1">
      <c r="A12" s="105" t="s">
        <v>92</v>
      </c>
      <c r="B12" s="15">
        <f>SUM(C12:P12)</f>
        <v>110681.876</v>
      </c>
      <c r="C12" s="55">
        <v>0</v>
      </c>
      <c r="D12" s="13">
        <v>94837</v>
      </c>
      <c r="E12" s="13">
        <v>134</v>
      </c>
      <c r="F12" s="13">
        <v>0</v>
      </c>
      <c r="G12" s="13">
        <v>0</v>
      </c>
      <c r="H12" s="13">
        <v>0</v>
      </c>
      <c r="I12" s="13">
        <v>1843</v>
      </c>
      <c r="J12" s="13">
        <v>632</v>
      </c>
      <c r="K12" s="13">
        <v>529.86</v>
      </c>
      <c r="L12" s="13">
        <v>98.72800000000001</v>
      </c>
      <c r="M12" s="13">
        <v>-140</v>
      </c>
      <c r="N12" s="13">
        <v>-527.8779999999999</v>
      </c>
      <c r="O12" s="13">
        <v>12971.946</v>
      </c>
      <c r="P12" s="13">
        <v>303.21999999999997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109056.807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/>
      <c r="AD12" s="52">
        <v>954</v>
      </c>
      <c r="AE12" s="14">
        <f>SUM(Q12:AD12)</f>
        <v>110010.807</v>
      </c>
    </row>
    <row r="13" spans="1:31" ht="30" customHeight="1">
      <c r="A13" s="105" t="s">
        <v>93</v>
      </c>
      <c r="B13" s="15">
        <f>SUM(C13:P13)</f>
        <v>564508.4443139123</v>
      </c>
      <c r="C13" s="55">
        <v>7902</v>
      </c>
      <c r="D13" s="13">
        <v>214304.59200000003</v>
      </c>
      <c r="E13" s="13">
        <v>3095</v>
      </c>
      <c r="F13" s="27">
        <v>15591</v>
      </c>
      <c r="G13" s="13">
        <v>8606</v>
      </c>
      <c r="H13" s="13">
        <v>939</v>
      </c>
      <c r="I13" s="27">
        <v>12651</v>
      </c>
      <c r="J13" s="13">
        <v>115335</v>
      </c>
      <c r="K13" s="13">
        <v>75206.12</v>
      </c>
      <c r="L13" s="13">
        <v>-405.482</v>
      </c>
      <c r="M13" s="13">
        <v>46907</v>
      </c>
      <c r="N13" s="13">
        <v>-1176.3670000000002</v>
      </c>
      <c r="O13" s="13">
        <v>65659.739</v>
      </c>
      <c r="P13" s="13">
        <v>-106.15768608770308</v>
      </c>
      <c r="Q13" s="13">
        <v>0</v>
      </c>
      <c r="R13" s="13">
        <v>420534.31500000006</v>
      </c>
      <c r="S13" s="13">
        <v>0</v>
      </c>
      <c r="T13" s="13">
        <v>0</v>
      </c>
      <c r="U13" s="13">
        <v>0</v>
      </c>
      <c r="V13" s="13">
        <v>38243.69699999999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/>
      <c r="AD13" s="52">
        <v>244417</v>
      </c>
      <c r="AE13" s="14">
        <f>SUM(Q13:AD13)</f>
        <v>703195.0120000001</v>
      </c>
    </row>
    <row r="14" spans="1:31" ht="30" customHeight="1">
      <c r="A14" s="105" t="s">
        <v>94</v>
      </c>
      <c r="B14" s="15">
        <f>SUM(C14:P14)</f>
        <v>586015.8035888007</v>
      </c>
      <c r="C14" s="55">
        <v>-911</v>
      </c>
      <c r="D14" s="13">
        <v>106679.97625283602</v>
      </c>
      <c r="E14" s="13">
        <v>4851</v>
      </c>
      <c r="F14" s="13">
        <v>12746</v>
      </c>
      <c r="G14" s="13">
        <v>27161</v>
      </c>
      <c r="H14" s="13">
        <v>4647</v>
      </c>
      <c r="I14" s="13">
        <v>41194</v>
      </c>
      <c r="J14" s="13">
        <v>116989</v>
      </c>
      <c r="K14" s="13">
        <v>141122.555</v>
      </c>
      <c r="L14" s="13">
        <v>3145.941</v>
      </c>
      <c r="M14" s="13">
        <v>12983</v>
      </c>
      <c r="N14" s="13">
        <v>2625.5310000000004</v>
      </c>
      <c r="O14" s="13">
        <v>112640.282</v>
      </c>
      <c r="P14" s="13">
        <v>141.5183359646018</v>
      </c>
      <c r="Q14" s="13">
        <v>0.923</v>
      </c>
      <c r="R14" s="13">
        <v>269812.983</v>
      </c>
      <c r="S14" s="13">
        <v>1152.5949999999993</v>
      </c>
      <c r="T14" s="13">
        <v>-257</v>
      </c>
      <c r="U14" s="13">
        <v>1039.986</v>
      </c>
      <c r="V14" s="13">
        <v>64703.293000000005</v>
      </c>
      <c r="W14" s="13">
        <v>485.8802500702848</v>
      </c>
      <c r="X14" s="13">
        <v>12867</v>
      </c>
      <c r="Y14" s="13">
        <v>42</v>
      </c>
      <c r="Z14" s="13">
        <v>0</v>
      </c>
      <c r="AA14" s="13">
        <v>26127</v>
      </c>
      <c r="AB14" s="13">
        <v>88</v>
      </c>
      <c r="AC14" s="13">
        <v>0</v>
      </c>
      <c r="AD14" s="52">
        <v>0</v>
      </c>
      <c r="AE14" s="14">
        <f>SUM(Q14:AD14)</f>
        <v>376062.6602500703</v>
      </c>
    </row>
    <row r="15" spans="1:31" ht="30" customHeight="1">
      <c r="A15" s="104" t="s">
        <v>95</v>
      </c>
      <c r="B15" s="11">
        <f>SUM(B16:B17)</f>
        <v>358806.1740699865</v>
      </c>
      <c r="C15" s="12">
        <f aca="true" t="shared" si="4" ref="C15:P15">C16+C17</f>
        <v>59351</v>
      </c>
      <c r="D15" s="12">
        <f t="shared" si="4"/>
        <v>37014.01406998655</v>
      </c>
      <c r="E15" s="12">
        <f t="shared" si="4"/>
        <v>7026</v>
      </c>
      <c r="F15" s="12">
        <f t="shared" si="4"/>
        <v>0</v>
      </c>
      <c r="G15" s="12">
        <f t="shared" si="4"/>
        <v>0</v>
      </c>
      <c r="H15" s="12">
        <f t="shared" si="4"/>
        <v>-129</v>
      </c>
      <c r="I15" s="12">
        <f>I16+I17</f>
        <v>-7048</v>
      </c>
      <c r="J15" s="12">
        <f>J16+J17</f>
        <v>7525</v>
      </c>
      <c r="K15" s="12">
        <f t="shared" si="4"/>
        <v>-55781.405</v>
      </c>
      <c r="L15" s="12">
        <f t="shared" si="4"/>
        <v>15010.877999999997</v>
      </c>
      <c r="M15" s="12">
        <f t="shared" si="4"/>
        <v>11543</v>
      </c>
      <c r="N15" s="12">
        <f t="shared" si="4"/>
        <v>123.28000000000024</v>
      </c>
      <c r="O15" s="12">
        <f t="shared" si="4"/>
        <v>284099.56499999994</v>
      </c>
      <c r="P15" s="12">
        <f t="shared" si="4"/>
        <v>71.84200000000001</v>
      </c>
      <c r="Q15" s="12">
        <f>Q16+Q17</f>
        <v>0</v>
      </c>
      <c r="R15" s="12">
        <f aca="true" t="shared" si="5" ref="R15:AD15">R16+R17</f>
        <v>5483.095000000001</v>
      </c>
      <c r="S15" s="12">
        <f t="shared" si="5"/>
        <v>-619.4729999999997</v>
      </c>
      <c r="T15" s="12">
        <f t="shared" si="5"/>
        <v>6890</v>
      </c>
      <c r="U15" s="12">
        <f t="shared" si="5"/>
        <v>113.797</v>
      </c>
      <c r="V15" s="12">
        <f t="shared" si="5"/>
        <v>0</v>
      </c>
      <c r="W15" s="12">
        <f>W16+W17</f>
        <v>27874.963069986552</v>
      </c>
      <c r="X15" s="12">
        <f>X16+X17</f>
        <v>-2612</v>
      </c>
      <c r="Y15" s="12">
        <f t="shared" si="5"/>
        <v>0</v>
      </c>
      <c r="Z15" s="12">
        <f t="shared" si="5"/>
        <v>0</v>
      </c>
      <c r="AA15" s="12">
        <f t="shared" si="5"/>
        <v>250287</v>
      </c>
      <c r="AB15" s="12">
        <f t="shared" si="5"/>
        <v>84</v>
      </c>
      <c r="AC15" s="12">
        <f t="shared" si="5"/>
        <v>0</v>
      </c>
      <c r="AD15" s="12">
        <f t="shared" si="5"/>
        <v>0</v>
      </c>
      <c r="AE15" s="14">
        <f>AE16+AE17</f>
        <v>287501.38206998655</v>
      </c>
    </row>
    <row r="16" spans="1:31" ht="30" customHeight="1">
      <c r="A16" s="105" t="s">
        <v>96</v>
      </c>
      <c r="B16" s="15">
        <f>SUM(C16:P16)</f>
        <v>219779.78699999995</v>
      </c>
      <c r="C16" s="55">
        <v>0</v>
      </c>
      <c r="D16" s="13">
        <v>0</v>
      </c>
      <c r="E16" s="13">
        <v>63</v>
      </c>
      <c r="F16" s="13">
        <v>0</v>
      </c>
      <c r="G16" s="13">
        <v>0</v>
      </c>
      <c r="H16" s="13">
        <v>0</v>
      </c>
      <c r="I16" s="13">
        <v>119</v>
      </c>
      <c r="J16" s="13">
        <v>6672</v>
      </c>
      <c r="K16" s="13">
        <v>-55779.307</v>
      </c>
      <c r="L16" s="13">
        <v>1367.517</v>
      </c>
      <c r="M16" s="13">
        <v>3761</v>
      </c>
      <c r="N16" s="13">
        <v>-98.64399999999996</v>
      </c>
      <c r="O16" s="13">
        <v>263597.24299999996</v>
      </c>
      <c r="P16" s="13">
        <v>77.97800000000001</v>
      </c>
      <c r="Q16" s="13">
        <v>0</v>
      </c>
      <c r="R16" s="13">
        <v>8.36299999999999</v>
      </c>
      <c r="S16" s="13">
        <v>-361.03000000000003</v>
      </c>
      <c r="T16" s="13">
        <v>6839</v>
      </c>
      <c r="U16" s="13">
        <v>128.423</v>
      </c>
      <c r="V16" s="13">
        <v>0</v>
      </c>
      <c r="W16" s="13">
        <v>2350</v>
      </c>
      <c r="X16" s="13">
        <v>-1664</v>
      </c>
      <c r="Y16" s="13">
        <v>0</v>
      </c>
      <c r="Z16" s="13">
        <v>0</v>
      </c>
      <c r="AA16" s="13">
        <v>167422</v>
      </c>
      <c r="AB16" s="13">
        <v>72</v>
      </c>
      <c r="AC16" s="13">
        <v>0</v>
      </c>
      <c r="AD16" s="52">
        <v>0</v>
      </c>
      <c r="AE16" s="14">
        <f>SUM(Q16:AD16)</f>
        <v>174794.756</v>
      </c>
    </row>
    <row r="17" spans="1:31" ht="30" customHeight="1">
      <c r="A17" s="105" t="s">
        <v>97</v>
      </c>
      <c r="B17" s="15">
        <f>SUM(C17:P17)</f>
        <v>139026.38706998655</v>
      </c>
      <c r="C17" s="55">
        <v>59351</v>
      </c>
      <c r="D17" s="13">
        <v>37014.01406998655</v>
      </c>
      <c r="E17" s="13">
        <v>6963</v>
      </c>
      <c r="F17" s="13">
        <v>0</v>
      </c>
      <c r="G17" s="13">
        <v>0</v>
      </c>
      <c r="H17" s="13">
        <v>-129</v>
      </c>
      <c r="I17" s="13">
        <v>-7167</v>
      </c>
      <c r="J17" s="13">
        <v>853</v>
      </c>
      <c r="K17" s="13">
        <v>-2.098</v>
      </c>
      <c r="L17" s="13">
        <v>13643.360999999997</v>
      </c>
      <c r="M17" s="13">
        <v>7782</v>
      </c>
      <c r="N17" s="13">
        <v>221.9240000000002</v>
      </c>
      <c r="O17" s="13">
        <v>20502.321999999996</v>
      </c>
      <c r="P17" s="13">
        <v>-6.136000000000003</v>
      </c>
      <c r="Q17" s="13">
        <v>0</v>
      </c>
      <c r="R17" s="13">
        <v>5474.732000000001</v>
      </c>
      <c r="S17" s="13">
        <v>-258.44299999999976</v>
      </c>
      <c r="T17" s="13">
        <v>51</v>
      </c>
      <c r="U17" s="13">
        <v>-14.626</v>
      </c>
      <c r="V17" s="13">
        <v>0</v>
      </c>
      <c r="W17" s="13">
        <v>25524.963069986552</v>
      </c>
      <c r="X17" s="13">
        <v>-948</v>
      </c>
      <c r="Y17" s="13">
        <v>0</v>
      </c>
      <c r="Z17" s="13">
        <v>0</v>
      </c>
      <c r="AA17" s="13">
        <v>82865</v>
      </c>
      <c r="AB17" s="13">
        <v>12</v>
      </c>
      <c r="AC17" s="13">
        <v>0</v>
      </c>
      <c r="AD17" s="52">
        <v>0</v>
      </c>
      <c r="AE17" s="14">
        <f>SUM(Q17:AD17)</f>
        <v>112706.62606998655</v>
      </c>
    </row>
    <row r="18" spans="1:31" ht="30" customHeight="1">
      <c r="A18" s="104" t="s">
        <v>98</v>
      </c>
      <c r="B18" s="11">
        <f>SUM(B19:B20)</f>
        <v>691913.1045369384</v>
      </c>
      <c r="C18" s="12">
        <f aca="true" t="shared" si="6" ref="C18:P18">C19+C20</f>
        <v>118821</v>
      </c>
      <c r="D18" s="12">
        <f t="shared" si="6"/>
        <v>-7518.795463061583</v>
      </c>
      <c r="E18" s="12">
        <f t="shared" si="6"/>
        <v>31</v>
      </c>
      <c r="F18" s="12">
        <f t="shared" si="6"/>
        <v>39923</v>
      </c>
      <c r="G18" s="12">
        <f t="shared" si="6"/>
        <v>0</v>
      </c>
      <c r="H18" s="12">
        <f t="shared" si="6"/>
        <v>4</v>
      </c>
      <c r="I18" s="12">
        <f>I19+I20</f>
        <v>-6285</v>
      </c>
      <c r="J18" s="12">
        <f>J19+J20</f>
        <v>3143</v>
      </c>
      <c r="K18" s="12">
        <f t="shared" si="6"/>
        <v>92860.64199999999</v>
      </c>
      <c r="L18" s="12">
        <f t="shared" si="6"/>
        <v>1574.384</v>
      </c>
      <c r="M18" s="12">
        <f t="shared" si="6"/>
        <v>23863</v>
      </c>
      <c r="N18" s="12">
        <f t="shared" si="6"/>
        <v>16602.315000000002</v>
      </c>
      <c r="O18" s="12">
        <f t="shared" si="6"/>
        <v>408881.15</v>
      </c>
      <c r="P18" s="12">
        <f t="shared" si="6"/>
        <v>13.408999999999999</v>
      </c>
      <c r="Q18" s="12">
        <f>Q19+Q20</f>
        <v>-20.356</v>
      </c>
      <c r="R18" s="12">
        <f aca="true" t="shared" si="7" ref="R18:AB18">R19+R20</f>
        <v>133429.972</v>
      </c>
      <c r="S18" s="12">
        <f t="shared" si="7"/>
        <v>11026.942999999997</v>
      </c>
      <c r="T18" s="12">
        <f t="shared" si="7"/>
        <v>4469</v>
      </c>
      <c r="U18" s="12">
        <f t="shared" si="7"/>
        <v>-583.03</v>
      </c>
      <c r="V18" s="12">
        <f t="shared" si="7"/>
        <v>-6297.323</v>
      </c>
      <c r="W18" s="12">
        <f>W19+W20</f>
        <v>365581.6702472589</v>
      </c>
      <c r="X18" s="12">
        <f>X19+X20</f>
        <v>77251</v>
      </c>
      <c r="Y18" s="12">
        <f t="shared" si="7"/>
        <v>-319</v>
      </c>
      <c r="Z18" s="12">
        <f t="shared" si="7"/>
        <v>32348</v>
      </c>
      <c r="AA18" s="12">
        <f t="shared" si="7"/>
        <v>84010</v>
      </c>
      <c r="AB18" s="12">
        <f t="shared" si="7"/>
        <v>31</v>
      </c>
      <c r="AC18" s="12">
        <f>AC19+AC20</f>
        <v>96153.71599999997</v>
      </c>
      <c r="AD18" s="12">
        <f>AD19+AD20</f>
        <v>-121</v>
      </c>
      <c r="AE18" s="14">
        <f>AE19+AE20</f>
        <v>796960.5922472589</v>
      </c>
    </row>
    <row r="19" spans="1:31" ht="30" customHeight="1">
      <c r="A19" s="105" t="s">
        <v>96</v>
      </c>
      <c r="B19" s="15">
        <f>SUM(C19:P19)</f>
        <v>324197.5062827119</v>
      </c>
      <c r="C19" s="55">
        <v>17599</v>
      </c>
      <c r="D19" s="13">
        <v>-572.578717288067</v>
      </c>
      <c r="E19" s="13">
        <v>6</v>
      </c>
      <c r="F19" s="13">
        <v>-16</v>
      </c>
      <c r="G19" s="13">
        <v>0</v>
      </c>
      <c r="H19" s="13">
        <v>4</v>
      </c>
      <c r="I19" s="13">
        <v>655</v>
      </c>
      <c r="J19" s="13">
        <v>2921</v>
      </c>
      <c r="K19" s="13">
        <v>92860.64199999999</v>
      </c>
      <c r="L19" s="13">
        <v>-2.3</v>
      </c>
      <c r="M19" s="13">
        <v>23085</v>
      </c>
      <c r="N19" s="13">
        <v>8789.885</v>
      </c>
      <c r="O19" s="13">
        <v>178860.65600000002</v>
      </c>
      <c r="P19" s="13">
        <v>7.202</v>
      </c>
      <c r="Q19" s="13">
        <v>-20</v>
      </c>
      <c r="R19" s="13">
        <v>127694.373</v>
      </c>
      <c r="S19" s="13">
        <v>11977.960999999998</v>
      </c>
      <c r="T19" s="13">
        <v>3351</v>
      </c>
      <c r="U19" s="13">
        <v>-443.974</v>
      </c>
      <c r="V19" s="13">
        <v>-6297.323</v>
      </c>
      <c r="W19" s="13">
        <v>200956.01090455963</v>
      </c>
      <c r="X19" s="13">
        <v>15215</v>
      </c>
      <c r="Y19" s="13">
        <v>-319</v>
      </c>
      <c r="Z19" s="13">
        <v>-12759</v>
      </c>
      <c r="AA19" s="13">
        <v>4707</v>
      </c>
      <c r="AB19" s="13">
        <v>10</v>
      </c>
      <c r="AC19" s="13">
        <v>10663.912999999999</v>
      </c>
      <c r="AD19" s="52">
        <v>0</v>
      </c>
      <c r="AE19" s="14">
        <f>SUM(Q19:AD19)</f>
        <v>354735.96090455964</v>
      </c>
    </row>
    <row r="20" spans="1:31" ht="30" customHeight="1">
      <c r="A20" s="105" t="s">
        <v>97</v>
      </c>
      <c r="B20" s="15">
        <f>SUM(C20:P20)</f>
        <v>367715.59825422644</v>
      </c>
      <c r="C20" s="55">
        <v>101222</v>
      </c>
      <c r="D20" s="13">
        <v>-6946.216745773516</v>
      </c>
      <c r="E20" s="13">
        <v>25</v>
      </c>
      <c r="F20" s="13">
        <v>39939</v>
      </c>
      <c r="G20" s="13">
        <v>0</v>
      </c>
      <c r="H20" s="13">
        <v>0</v>
      </c>
      <c r="I20" s="13">
        <v>-6940</v>
      </c>
      <c r="J20" s="13">
        <v>222</v>
      </c>
      <c r="K20" s="13">
        <v>0</v>
      </c>
      <c r="L20" s="13">
        <v>1576.684</v>
      </c>
      <c r="M20" s="13">
        <v>778</v>
      </c>
      <c r="N20" s="13">
        <v>7812.43</v>
      </c>
      <c r="O20" s="13">
        <v>230020.49399999998</v>
      </c>
      <c r="P20" s="13">
        <v>6.207</v>
      </c>
      <c r="Q20" s="13">
        <v>-0.356</v>
      </c>
      <c r="R20" s="13">
        <v>5735.598999999999</v>
      </c>
      <c r="S20" s="13">
        <v>-951.018</v>
      </c>
      <c r="T20" s="13">
        <v>1118</v>
      </c>
      <c r="U20" s="13">
        <v>-139.056</v>
      </c>
      <c r="V20" s="13">
        <v>0</v>
      </c>
      <c r="W20" s="13">
        <v>164625.65934269928</v>
      </c>
      <c r="X20" s="13">
        <v>62036</v>
      </c>
      <c r="Y20" s="13">
        <v>0</v>
      </c>
      <c r="Z20" s="13">
        <v>45107</v>
      </c>
      <c r="AA20" s="13">
        <v>79303</v>
      </c>
      <c r="AB20" s="13">
        <v>21</v>
      </c>
      <c r="AC20" s="13">
        <v>85489.80299999997</v>
      </c>
      <c r="AD20" s="52">
        <v>-121</v>
      </c>
      <c r="AE20" s="14">
        <f>SUM(Q20:AD20)</f>
        <v>442224.6313426992</v>
      </c>
    </row>
    <row r="21" spans="1:31" s="16" customFormat="1" ht="30" customHeight="1">
      <c r="A21" s="104" t="s">
        <v>99</v>
      </c>
      <c r="B21" s="11">
        <f>SUM(C21:P21)</f>
        <v>599653.4286473166</v>
      </c>
      <c r="C21" s="54">
        <v>452000</v>
      </c>
      <c r="D21" s="12">
        <v>14811.176297383976</v>
      </c>
      <c r="E21" s="12">
        <v>11597</v>
      </c>
      <c r="F21" s="12">
        <v>3999</v>
      </c>
      <c r="G21" s="12">
        <v>1525</v>
      </c>
      <c r="H21" s="12">
        <v>0</v>
      </c>
      <c r="I21" s="12">
        <v>8449</v>
      </c>
      <c r="J21" s="12">
        <v>29784.81534993276</v>
      </c>
      <c r="K21" s="12">
        <v>-6165.785</v>
      </c>
      <c r="L21" s="12">
        <v>10749.003</v>
      </c>
      <c r="M21" s="12">
        <v>11976</v>
      </c>
      <c r="N21" s="12">
        <v>6445.9400000000005</v>
      </c>
      <c r="O21" s="12">
        <v>54482.279</v>
      </c>
      <c r="P21" s="12">
        <v>0</v>
      </c>
      <c r="Q21" s="18">
        <v>316.981</v>
      </c>
      <c r="R21" s="12">
        <v>85548.704</v>
      </c>
      <c r="S21" s="12">
        <v>7991.358000000001</v>
      </c>
      <c r="T21" s="12">
        <v>77601</v>
      </c>
      <c r="U21" s="12">
        <v>743.551</v>
      </c>
      <c r="V21" s="12">
        <v>0</v>
      </c>
      <c r="W21" s="12">
        <v>316235.4491209398</v>
      </c>
      <c r="X21" s="12">
        <v>11967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51">
        <v>7210</v>
      </c>
      <c r="AE21" s="14">
        <f>SUM(Q21:AD21)</f>
        <v>507614.04312093987</v>
      </c>
    </row>
    <row r="22" spans="1:31" s="16" customFormat="1" ht="30" customHeight="1">
      <c r="A22" s="104" t="s">
        <v>100</v>
      </c>
      <c r="B22" s="11">
        <f>SUM(C22:P22)</f>
        <v>284.62899999999996</v>
      </c>
      <c r="C22" s="54">
        <v>0</v>
      </c>
      <c r="D22" s="12"/>
      <c r="E22" s="12"/>
      <c r="F22" s="12">
        <v>0</v>
      </c>
      <c r="G22" s="12">
        <v>0</v>
      </c>
      <c r="H22" s="12"/>
      <c r="I22" s="12">
        <v>0</v>
      </c>
      <c r="J22" s="12"/>
      <c r="K22" s="12">
        <v>22.544</v>
      </c>
      <c r="L22" s="12"/>
      <c r="M22" s="12"/>
      <c r="N22" s="12"/>
      <c r="O22" s="12">
        <v>262.085</v>
      </c>
      <c r="P22" s="12"/>
      <c r="Q22" s="18"/>
      <c r="R22" s="12">
        <v>-87.18199999999999</v>
      </c>
      <c r="S22" s="12"/>
      <c r="T22" s="12"/>
      <c r="U22" s="12">
        <v>0</v>
      </c>
      <c r="V22" s="12">
        <v>7.83</v>
      </c>
      <c r="W22" s="12"/>
      <c r="X22" s="12"/>
      <c r="Y22" s="12"/>
      <c r="Z22" s="12">
        <v>0</v>
      </c>
      <c r="AA22" s="12">
        <v>0</v>
      </c>
      <c r="AB22" s="12"/>
      <c r="AC22" s="12"/>
      <c r="AD22" s="51">
        <v>0</v>
      </c>
      <c r="AE22" s="14">
        <f>SUM(Q22:AD22)</f>
        <v>-79.35199999999999</v>
      </c>
    </row>
    <row r="23" spans="1:31" s="16" customFormat="1" ht="30" customHeight="1">
      <c r="A23" s="104" t="s">
        <v>101</v>
      </c>
      <c r="B23" s="11" t="e">
        <f>SUM(B24:B27)</f>
        <v>#REF!</v>
      </c>
      <c r="C23" s="54">
        <v>0</v>
      </c>
      <c r="D23" s="12" t="e">
        <f aca="true" t="shared" si="8" ref="D23:P23">D24+D25+D26+D27</f>
        <v>#REF!</v>
      </c>
      <c r="E23" s="12">
        <f t="shared" si="8"/>
        <v>-2</v>
      </c>
      <c r="F23" s="12">
        <f t="shared" si="8"/>
        <v>0</v>
      </c>
      <c r="G23" s="12">
        <f t="shared" si="8"/>
        <v>0</v>
      </c>
      <c r="H23" s="12">
        <f t="shared" si="8"/>
        <v>23</v>
      </c>
      <c r="I23" s="12">
        <f>I24+I25+I26+I27</f>
        <v>132</v>
      </c>
      <c r="J23" s="12">
        <f>J24+J25+J26+J27</f>
        <v>4756</v>
      </c>
      <c r="K23" s="12">
        <f t="shared" si="8"/>
        <v>0.020224922363741422</v>
      </c>
      <c r="L23" s="12">
        <f t="shared" si="8"/>
        <v>-4638.822</v>
      </c>
      <c r="M23" s="12">
        <f t="shared" si="8"/>
        <v>0</v>
      </c>
      <c r="N23" s="12"/>
      <c r="O23" s="12">
        <f t="shared" si="8"/>
        <v>1.484</v>
      </c>
      <c r="P23" s="12">
        <f t="shared" si="8"/>
        <v>0</v>
      </c>
      <c r="Q23" s="12">
        <f>Q24+Q25+Q26+Q27</f>
        <v>0</v>
      </c>
      <c r="R23" s="12">
        <f aca="true" t="shared" si="9" ref="R23:AD23">R24+R25+R26+R27</f>
        <v>0</v>
      </c>
      <c r="S23" s="12">
        <f t="shared" si="9"/>
        <v>0</v>
      </c>
      <c r="T23" s="12">
        <f t="shared" si="9"/>
        <v>0</v>
      </c>
      <c r="U23" s="12">
        <f t="shared" si="9"/>
        <v>13351.088</v>
      </c>
      <c r="V23" s="12">
        <f t="shared" si="9"/>
        <v>0</v>
      </c>
      <c r="W23" s="12">
        <f>W24+W25+W26+W27</f>
        <v>0</v>
      </c>
      <c r="X23" s="12">
        <f>X24+X25+X26+X27</f>
        <v>0</v>
      </c>
      <c r="Y23" s="12">
        <f>Y24+Y25+Y26+V27</f>
        <v>0</v>
      </c>
      <c r="Z23" s="12">
        <f>Z24+Z25+Z26+Y27</f>
        <v>0</v>
      </c>
      <c r="AA23" s="12">
        <f t="shared" si="9"/>
        <v>0</v>
      </c>
      <c r="AB23" s="12">
        <f t="shared" si="9"/>
        <v>0</v>
      </c>
      <c r="AC23" s="12" t="e">
        <f t="shared" si="9"/>
        <v>#REF!</v>
      </c>
      <c r="AD23" s="12">
        <f t="shared" si="9"/>
        <v>0</v>
      </c>
      <c r="AE23" s="14" t="e">
        <f>AE24+AE25+AE26+AE27</f>
        <v>#REF!</v>
      </c>
    </row>
    <row r="24" spans="1:31" ht="30" customHeight="1">
      <c r="A24" s="106" t="s">
        <v>102</v>
      </c>
      <c r="B24" s="15">
        <f>SUM(C24:P24)</f>
        <v>-22.05577507763626</v>
      </c>
      <c r="C24" s="55"/>
      <c r="D24" s="13"/>
      <c r="E24" s="13"/>
      <c r="F24" s="13"/>
      <c r="G24" s="13"/>
      <c r="H24" s="13"/>
      <c r="I24" s="13">
        <v>4</v>
      </c>
      <c r="J24" s="13"/>
      <c r="K24" s="13">
        <v>0.020224922363741422</v>
      </c>
      <c r="L24" s="13">
        <v>-26.076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52"/>
      <c r="AE24" s="14">
        <f>SUM(Q24:AD24)</f>
        <v>0</v>
      </c>
    </row>
    <row r="25" spans="1:31" ht="30" customHeight="1">
      <c r="A25" s="106" t="s">
        <v>103</v>
      </c>
      <c r="B25" s="15" t="e">
        <f>SUM(C25:P25)</f>
        <v>#REF!</v>
      </c>
      <c r="C25" s="55"/>
      <c r="D25" s="13" t="e">
        <v>#REF!</v>
      </c>
      <c r="E25" s="13">
        <v>-2</v>
      </c>
      <c r="F25" s="13">
        <v>0</v>
      </c>
      <c r="G25" s="13">
        <v>0</v>
      </c>
      <c r="H25" s="13">
        <v>23</v>
      </c>
      <c r="I25" s="13"/>
      <c r="J25" s="13">
        <v>0</v>
      </c>
      <c r="K25" s="13">
        <v>0</v>
      </c>
      <c r="L25" s="13"/>
      <c r="M25" s="13"/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2879.039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 t="e">
        <v>#REF!</v>
      </c>
      <c r="AD25" s="52">
        <v>0</v>
      </c>
      <c r="AE25" s="14" t="e">
        <f>SUM(Q25:AD25)</f>
        <v>#REF!</v>
      </c>
    </row>
    <row r="26" spans="1:31" ht="30" customHeight="1">
      <c r="A26" s="107" t="s">
        <v>104</v>
      </c>
      <c r="B26" s="15">
        <f>SUM(C26:P26)</f>
        <v>0</v>
      </c>
      <c r="C26" s="55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52"/>
      <c r="AE26" s="14">
        <f>SUM(Q26:AD26)</f>
        <v>0</v>
      </c>
    </row>
    <row r="27" spans="1:31" ht="30" customHeight="1">
      <c r="A27" s="106" t="s">
        <v>105</v>
      </c>
      <c r="B27" s="15">
        <f>SUM(C27:P27)</f>
        <v>272.7379999999999</v>
      </c>
      <c r="C27" s="55"/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128</v>
      </c>
      <c r="J27" s="13">
        <v>4756</v>
      </c>
      <c r="K27" s="13">
        <v>0</v>
      </c>
      <c r="L27" s="13">
        <v>-4612.746</v>
      </c>
      <c r="M27" s="13"/>
      <c r="N27" s="13">
        <v>0</v>
      </c>
      <c r="O27" s="13">
        <v>1.484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10472.048999999999</v>
      </c>
      <c r="V27" s="13">
        <v>0</v>
      </c>
      <c r="W27" s="13">
        <v>0</v>
      </c>
      <c r="X27" s="13">
        <v>0</v>
      </c>
      <c r="Y27" s="13">
        <v>0</v>
      </c>
      <c r="Z27" s="27">
        <v>0</v>
      </c>
      <c r="AA27" s="13">
        <v>0</v>
      </c>
      <c r="AB27" s="13">
        <v>0</v>
      </c>
      <c r="AC27" s="13">
        <v>0</v>
      </c>
      <c r="AD27" s="52"/>
      <c r="AE27" s="14">
        <f>SUM(Q27:AD27)</f>
        <v>10472.048999999999</v>
      </c>
    </row>
    <row r="28" spans="1:31" ht="30" customHeight="1">
      <c r="A28" s="104" t="s">
        <v>106</v>
      </c>
      <c r="B28" s="11" t="e">
        <f>SUM(B29:B30)</f>
        <v>#REF!</v>
      </c>
      <c r="C28" s="12">
        <f aca="true" t="shared" si="10" ref="C28:P28">C29+C30</f>
        <v>47645</v>
      </c>
      <c r="D28" s="12" t="e">
        <f t="shared" si="10"/>
        <v>#REF!</v>
      </c>
      <c r="E28" s="12">
        <f t="shared" si="10"/>
        <v>-4531</v>
      </c>
      <c r="F28" s="12">
        <f t="shared" si="10"/>
        <v>13146</v>
      </c>
      <c r="G28" s="12">
        <f t="shared" si="10"/>
        <v>0</v>
      </c>
      <c r="H28" s="12">
        <f t="shared" si="10"/>
        <v>-3934</v>
      </c>
      <c r="I28" s="12">
        <f>I29+I30</f>
        <v>106592</v>
      </c>
      <c r="J28" s="12">
        <f>J29+J30</f>
        <v>-305367.01077779196</v>
      </c>
      <c r="K28" s="12">
        <f t="shared" si="10"/>
        <v>145692.59500000003</v>
      </c>
      <c r="L28" s="12">
        <f t="shared" si="10"/>
        <v>9633.073999999999</v>
      </c>
      <c r="M28" s="12">
        <f t="shared" si="10"/>
        <v>13894</v>
      </c>
      <c r="N28" s="12">
        <f t="shared" si="10"/>
        <v>3891.3720000000003</v>
      </c>
      <c r="O28" s="12">
        <f t="shared" si="10"/>
        <v>54489.21299999999</v>
      </c>
      <c r="P28" s="12">
        <f t="shared" si="10"/>
        <v>42.59858764760814</v>
      </c>
      <c r="Q28" s="12">
        <f>Q29+Q30</f>
        <v>301.13583175902374</v>
      </c>
      <c r="R28" s="12">
        <f aca="true" t="shared" si="11" ref="R28:AD28">R29+R30</f>
        <v>22387.368999999995</v>
      </c>
      <c r="S28" s="12">
        <f t="shared" si="11"/>
        <v>9386.74</v>
      </c>
      <c r="T28" s="12">
        <f t="shared" si="11"/>
        <v>14871</v>
      </c>
      <c r="U28" s="12">
        <f t="shared" si="11"/>
        <v>-8814.954999999998</v>
      </c>
      <c r="V28" s="12">
        <f t="shared" si="11"/>
        <v>157386.83800000002</v>
      </c>
      <c r="W28" s="12">
        <f>W29+W30</f>
        <v>-394327.5958787333</v>
      </c>
      <c r="X28" s="12">
        <f>X29+X30</f>
        <v>139349</v>
      </c>
      <c r="Y28" s="12">
        <f t="shared" si="11"/>
        <v>1934</v>
      </c>
      <c r="Z28" s="12">
        <f t="shared" si="11"/>
        <v>4084</v>
      </c>
      <c r="AA28" s="12">
        <f t="shared" si="11"/>
        <v>-1164</v>
      </c>
      <c r="AB28" s="12">
        <f t="shared" si="11"/>
        <v>359</v>
      </c>
      <c r="AC28" s="12">
        <f t="shared" si="11"/>
        <v>78982</v>
      </c>
      <c r="AD28" s="12">
        <f t="shared" si="11"/>
        <v>16465</v>
      </c>
      <c r="AE28" s="14">
        <f>AE29+AE30</f>
        <v>41199.531953025726</v>
      </c>
    </row>
    <row r="29" spans="1:31" ht="30" customHeight="1">
      <c r="A29" s="105" t="s">
        <v>107</v>
      </c>
      <c r="B29" s="15" t="e">
        <f>SUM(C29:P29)</f>
        <v>#REF!</v>
      </c>
      <c r="C29" s="55">
        <v>12879</v>
      </c>
      <c r="D29" s="13" t="e">
        <v>#REF!</v>
      </c>
      <c r="E29" s="13">
        <v>1</v>
      </c>
      <c r="F29" s="13">
        <v>0</v>
      </c>
      <c r="G29" s="13">
        <v>0</v>
      </c>
      <c r="H29" s="13">
        <v>0</v>
      </c>
      <c r="I29" s="13">
        <v>77523</v>
      </c>
      <c r="J29" s="13">
        <v>15377.568343649222</v>
      </c>
      <c r="K29" s="13">
        <v>0</v>
      </c>
      <c r="L29" s="13">
        <v>0</v>
      </c>
      <c r="M29" s="13">
        <v>0</v>
      </c>
      <c r="N29" s="13">
        <v>0</v>
      </c>
      <c r="O29" s="13">
        <v>82.805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26261.09265131357</v>
      </c>
      <c r="X29" s="13">
        <v>18372</v>
      </c>
      <c r="Y29" s="13">
        <v>-29</v>
      </c>
      <c r="Z29" s="13">
        <v>0</v>
      </c>
      <c r="AA29" s="13">
        <v>0</v>
      </c>
      <c r="AB29" s="13">
        <v>0</v>
      </c>
      <c r="AC29" s="13">
        <v>44216</v>
      </c>
      <c r="AD29" s="52">
        <v>17043</v>
      </c>
      <c r="AE29" s="14">
        <f>SUM(Q29:AD29)</f>
        <v>105863.09265131358</v>
      </c>
    </row>
    <row r="30" spans="1:31" ht="30" customHeight="1">
      <c r="A30" s="105" t="s">
        <v>0</v>
      </c>
      <c r="B30" s="15">
        <f>SUM(C30:P30)</f>
        <v>-124669.53153379355</v>
      </c>
      <c r="C30" s="55">
        <v>34766</v>
      </c>
      <c r="D30" s="13">
        <v>-100000</v>
      </c>
      <c r="E30" s="13">
        <v>-4532</v>
      </c>
      <c r="F30" s="13">
        <v>13146</v>
      </c>
      <c r="G30" s="13">
        <v>0</v>
      </c>
      <c r="H30" s="13">
        <v>-3934</v>
      </c>
      <c r="I30" s="13">
        <v>29069</v>
      </c>
      <c r="J30" s="13">
        <v>-320744.5791214412</v>
      </c>
      <c r="K30" s="13">
        <v>145692.59500000003</v>
      </c>
      <c r="L30" s="13">
        <v>9633.073999999999</v>
      </c>
      <c r="M30" s="13">
        <v>13894</v>
      </c>
      <c r="N30" s="13">
        <v>3891.3720000000003</v>
      </c>
      <c r="O30" s="13">
        <v>54406.40799999999</v>
      </c>
      <c r="P30" s="13">
        <v>42.59858764760814</v>
      </c>
      <c r="Q30" s="13">
        <v>301.13583175902374</v>
      </c>
      <c r="R30" s="13">
        <v>22387.368999999995</v>
      </c>
      <c r="S30" s="13">
        <v>9386.74</v>
      </c>
      <c r="T30" s="13">
        <v>14871</v>
      </c>
      <c r="U30" s="13">
        <v>-8814.954999999998</v>
      </c>
      <c r="V30" s="13">
        <v>157386.83800000002</v>
      </c>
      <c r="W30" s="13">
        <v>-420588.6885300469</v>
      </c>
      <c r="X30" s="13">
        <v>120977</v>
      </c>
      <c r="Y30" s="13">
        <v>1963</v>
      </c>
      <c r="Z30" s="13">
        <v>4084</v>
      </c>
      <c r="AA30" s="13">
        <v>-1164</v>
      </c>
      <c r="AB30" s="13">
        <v>359</v>
      </c>
      <c r="AC30" s="13">
        <v>34766</v>
      </c>
      <c r="AD30" s="52">
        <v>-578</v>
      </c>
      <c r="AE30" s="14">
        <f>SUM(Q30:AD30)</f>
        <v>-64663.56069828785</v>
      </c>
    </row>
    <row r="31" spans="1:31" ht="30" customHeight="1" thickBot="1">
      <c r="A31" s="108" t="s">
        <v>74</v>
      </c>
      <c r="B31" s="49"/>
      <c r="C31" s="49"/>
      <c r="D31" s="49"/>
      <c r="E31" s="49"/>
      <c r="F31" s="49"/>
      <c r="G31" s="50"/>
      <c r="H31" s="49"/>
      <c r="I31" s="49"/>
      <c r="J31" s="49"/>
      <c r="K31" s="49"/>
      <c r="L31" s="49"/>
      <c r="M31" s="49"/>
      <c r="N31" s="50"/>
      <c r="O31" s="49"/>
      <c r="P31" s="49"/>
      <c r="Q31" s="19">
        <v>-132.25359423451698</v>
      </c>
      <c r="R31" s="19">
        <v>56378.486999999965</v>
      </c>
      <c r="S31" s="19">
        <v>-953.9699999999975</v>
      </c>
      <c r="T31" s="19">
        <v>17452</v>
      </c>
      <c r="U31" s="19">
        <v>29317.266999999996</v>
      </c>
      <c r="V31" s="19">
        <v>34986.225999999966</v>
      </c>
      <c r="W31" s="19">
        <v>-343052.56223738147</v>
      </c>
      <c r="X31" s="19">
        <v>-81294</v>
      </c>
      <c r="Y31" s="19">
        <v>-107</v>
      </c>
      <c r="Z31" s="19">
        <v>860</v>
      </c>
      <c r="AA31" s="19">
        <v>-273855</v>
      </c>
      <c r="AB31" s="19">
        <v>21639</v>
      </c>
      <c r="AC31" s="19">
        <v>184992.24715714506</v>
      </c>
      <c r="AD31" s="53">
        <v>416551</v>
      </c>
      <c r="AE31" s="40">
        <v>62781.44132552948</v>
      </c>
    </row>
    <row r="32" spans="1:31" s="17" customFormat="1" ht="15" customHeight="1">
      <c r="A32" s="109"/>
      <c r="J32" s="20"/>
      <c r="M32" s="21"/>
      <c r="N32" s="21"/>
      <c r="Q32" s="17">
        <f>Q7-Q31</f>
        <v>0</v>
      </c>
      <c r="R32" s="17">
        <f aca="true" t="shared" si="12" ref="R32:AE32">R7-R31</f>
        <v>1.1641532182693481E-10</v>
      </c>
      <c r="S32" s="17">
        <f t="shared" si="12"/>
        <v>0</v>
      </c>
      <c r="T32" s="17">
        <f t="shared" si="12"/>
        <v>0</v>
      </c>
      <c r="U32" s="17">
        <f t="shared" si="12"/>
        <v>0</v>
      </c>
      <c r="V32" s="17">
        <f t="shared" si="12"/>
        <v>0.020224922336637974</v>
      </c>
      <c r="W32" s="17">
        <f t="shared" si="12"/>
        <v>0</v>
      </c>
      <c r="X32" s="17">
        <f t="shared" si="12"/>
        <v>0</v>
      </c>
      <c r="Y32" s="17">
        <f t="shared" si="12"/>
        <v>0</v>
      </c>
      <c r="Z32" s="17">
        <f t="shared" si="12"/>
        <v>0</v>
      </c>
      <c r="AA32" s="17">
        <f t="shared" si="12"/>
        <v>0</v>
      </c>
      <c r="AB32" s="17">
        <f t="shared" si="12"/>
        <v>0</v>
      </c>
      <c r="AC32" s="17" t="e">
        <f t="shared" si="12"/>
        <v>#REF!</v>
      </c>
      <c r="AD32" s="17">
        <f t="shared" si="12"/>
        <v>0</v>
      </c>
      <c r="AE32" s="17" t="e">
        <f t="shared" si="12"/>
        <v>#REF!</v>
      </c>
    </row>
    <row r="33" spans="1:15" s="17" customFormat="1" ht="15">
      <c r="A33" s="109"/>
      <c r="M33" s="21"/>
      <c r="N33" s="21"/>
      <c r="O33" s="21"/>
    </row>
    <row r="34" s="17" customFormat="1" ht="15">
      <c r="A34" s="109"/>
    </row>
  </sheetData>
  <sheetProtection/>
  <mergeCells count="7">
    <mergeCell ref="B2:AE2"/>
    <mergeCell ref="E5:H5"/>
    <mergeCell ref="Y5:AB5"/>
    <mergeCell ref="Q5:V5"/>
    <mergeCell ref="K5:P5"/>
    <mergeCell ref="W5:X5"/>
    <mergeCell ref="I5:J5"/>
  </mergeCells>
  <printOptions/>
  <pageMargins left="0.91" right="0.18" top="0.68" bottom="0.2" header="0.41" footer="0.5"/>
  <pageSetup horizontalDpi="600" verticalDpi="600" orientation="landscape" paperSize="5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J30"/>
  <sheetViews>
    <sheetView zoomScalePageLayoutView="0" workbookViewId="0" topLeftCell="A1">
      <selection activeCell="L25" sqref="L25"/>
    </sheetView>
  </sheetViews>
  <sheetFormatPr defaultColWidth="9.140625" defaultRowHeight="12.75"/>
  <cols>
    <col min="2" max="3" width="10.00390625" style="0" bestFit="1" customWidth="1"/>
    <col min="5" max="5" width="8.57421875" style="0" customWidth="1"/>
    <col min="13" max="13" width="11.140625" style="23" customWidth="1"/>
    <col min="14" max="14" width="12.140625" style="0" customWidth="1"/>
  </cols>
  <sheetData>
    <row r="4" spans="2:6" ht="12.75">
      <c r="B4" s="4">
        <v>65</v>
      </c>
      <c r="C4" s="1"/>
      <c r="E4" s="252"/>
      <c r="F4" s="252"/>
    </row>
    <row r="5" spans="2:3" ht="12.75">
      <c r="B5" s="4">
        <v>250</v>
      </c>
      <c r="C5" s="5">
        <f>Capital_Acct!M16</f>
        <v>54316.801</v>
      </c>
    </row>
    <row r="6" spans="2:10" ht="12.75">
      <c r="B6" s="4">
        <v>26</v>
      </c>
      <c r="C6" s="5">
        <f>Capital_Acct!M31</f>
        <v>3239.2800000000007</v>
      </c>
      <c r="G6" s="3"/>
      <c r="H6" s="3"/>
      <c r="I6" s="3">
        <v>209</v>
      </c>
      <c r="J6" s="3">
        <v>250</v>
      </c>
    </row>
    <row r="7" spans="2:10" ht="12.75">
      <c r="B7" s="4">
        <v>2</v>
      </c>
      <c r="C7" s="5"/>
      <c r="G7" s="1"/>
      <c r="H7" s="1"/>
      <c r="I7" s="1">
        <v>21</v>
      </c>
      <c r="J7" s="1">
        <v>26</v>
      </c>
    </row>
    <row r="8" spans="2:10" ht="12.75">
      <c r="B8" s="4">
        <v>-7</v>
      </c>
      <c r="C8" s="5"/>
      <c r="G8" s="1">
        <v>-7</v>
      </c>
      <c r="H8" s="1"/>
      <c r="I8" s="1">
        <v>20</v>
      </c>
      <c r="J8" s="1">
        <v>2</v>
      </c>
    </row>
    <row r="9" spans="2:10" ht="12.75">
      <c r="B9" s="2">
        <f>SUM(B5:B8)</f>
        <v>271</v>
      </c>
      <c r="C9" s="5">
        <f>C6+C5</f>
        <v>57556.081</v>
      </c>
      <c r="G9" s="3">
        <v>2</v>
      </c>
      <c r="H9" s="3"/>
      <c r="I9" s="3">
        <v>26</v>
      </c>
      <c r="J9" s="3">
        <v>-7</v>
      </c>
    </row>
    <row r="10" spans="2:10" ht="12.75">
      <c r="B10" s="2">
        <v>-137</v>
      </c>
      <c r="C10" s="5">
        <f>-Capital_Acct!P28</f>
        <v>0</v>
      </c>
      <c r="G10" s="3">
        <v>26</v>
      </c>
      <c r="H10" s="3"/>
      <c r="I10" s="3">
        <v>2</v>
      </c>
      <c r="J10" s="3">
        <f>SUM(J6:J9)</f>
        <v>271</v>
      </c>
    </row>
    <row r="11" spans="2:10" ht="12.75">
      <c r="B11" s="1">
        <f>SUM(B9:B10)</f>
        <v>134</v>
      </c>
      <c r="C11" s="5">
        <f>SUM(C9:C10)</f>
        <v>57556.081</v>
      </c>
      <c r="G11" s="3"/>
      <c r="H11" s="3"/>
      <c r="I11" s="3"/>
      <c r="J11" s="3"/>
    </row>
    <row r="12" spans="2:10" ht="12.75">
      <c r="B12" s="1">
        <v>-65</v>
      </c>
      <c r="C12" s="5">
        <f>-Capital_Acct!P13</f>
        <v>-109447.84500000002</v>
      </c>
      <c r="G12" s="3">
        <v>209</v>
      </c>
      <c r="H12" s="3"/>
      <c r="I12" s="3">
        <v>-7</v>
      </c>
      <c r="J12" s="3"/>
    </row>
    <row r="13" spans="2:10" ht="12.75">
      <c r="B13" s="1">
        <f>SUM(B11:B12)</f>
        <v>69</v>
      </c>
      <c r="C13" s="5">
        <f>SUM(C11:C12)</f>
        <v>-51891.76400000002</v>
      </c>
      <c r="G13" s="3">
        <v>21</v>
      </c>
      <c r="H13" s="3"/>
      <c r="I13" s="3">
        <f>SUM(I6:I12)</f>
        <v>271</v>
      </c>
      <c r="J13" s="3"/>
    </row>
    <row r="14" spans="7:10" ht="12.75">
      <c r="G14" s="1">
        <v>20</v>
      </c>
      <c r="H14" s="1"/>
      <c r="I14" s="1">
        <f>I13-137</f>
        <v>134</v>
      </c>
      <c r="J14" s="1"/>
    </row>
    <row r="15" spans="7:10" ht="12.75">
      <c r="G15" s="1">
        <v>-137</v>
      </c>
      <c r="H15" s="1"/>
      <c r="I15" s="1">
        <f>G20-I14</f>
        <v>-69</v>
      </c>
      <c r="J15" s="1"/>
    </row>
    <row r="16" spans="7:10" ht="12.75">
      <c r="G16" s="1">
        <f>SUM(G8:G15)</f>
        <v>134</v>
      </c>
      <c r="H16" s="1"/>
      <c r="I16" s="1"/>
      <c r="J16" s="1"/>
    </row>
    <row r="17" spans="7:10" ht="12.75">
      <c r="G17" s="3">
        <f>G16-G20</f>
        <v>69</v>
      </c>
      <c r="H17" s="3"/>
      <c r="I17" s="3"/>
      <c r="J17" s="3"/>
    </row>
    <row r="18" spans="7:10" ht="12.75">
      <c r="G18" s="1"/>
      <c r="H18" s="1"/>
      <c r="I18" s="1"/>
      <c r="J18" s="1"/>
    </row>
    <row r="19" spans="7:10" ht="12.75">
      <c r="G19" s="1"/>
      <c r="H19" s="1"/>
      <c r="I19" s="1"/>
      <c r="J19" s="1"/>
    </row>
    <row r="20" spans="7:10" ht="12.75">
      <c r="G20" s="1">
        <f>48+(33-16)</f>
        <v>65</v>
      </c>
      <c r="H20" s="1"/>
      <c r="I20" s="1"/>
      <c r="J20" s="1"/>
    </row>
    <row r="21" spans="7:10" ht="12.75">
      <c r="G21" s="3"/>
      <c r="H21" s="3"/>
      <c r="I21" s="3"/>
      <c r="J21" s="3"/>
    </row>
    <row r="22" spans="7:10" ht="12.75">
      <c r="G22" s="1"/>
      <c r="H22" s="1"/>
      <c r="I22" s="1">
        <v>33</v>
      </c>
      <c r="J22" s="1"/>
    </row>
    <row r="23" spans="7:10" ht="12.75">
      <c r="G23" s="1"/>
      <c r="H23" s="1"/>
      <c r="I23" s="1">
        <v>-16</v>
      </c>
      <c r="J23" s="1"/>
    </row>
    <row r="24" spans="7:10" ht="12.75">
      <c r="G24" s="3"/>
      <c r="H24" s="3"/>
      <c r="I24" s="3">
        <f>SUM(I22:I23)</f>
        <v>17</v>
      </c>
      <c r="J24" s="3"/>
    </row>
    <row r="27" spans="2:3" ht="12.75">
      <c r="B27" s="22">
        <v>2004</v>
      </c>
      <c r="C27" s="22">
        <v>2005</v>
      </c>
    </row>
    <row r="28" spans="2:4" ht="12.75">
      <c r="B28" s="24">
        <v>35574</v>
      </c>
      <c r="C28" s="25">
        <v>44312</v>
      </c>
      <c r="D28" s="26"/>
    </row>
    <row r="29" spans="2:4" ht="12.75">
      <c r="B29" s="24">
        <v>13721</v>
      </c>
      <c r="C29" s="25">
        <v>17296</v>
      </c>
      <c r="D29" s="26"/>
    </row>
    <row r="30" spans="2:4" ht="12.75">
      <c r="B30" s="24">
        <f>B29+B28</f>
        <v>49295</v>
      </c>
      <c r="C30" s="24">
        <f>C29+C28</f>
        <v>61608</v>
      </c>
      <c r="D30" s="26">
        <f>C30-B30</f>
        <v>12313</v>
      </c>
    </row>
  </sheetData>
  <sheetProtection/>
  <mergeCells count="1">
    <mergeCell ref="E4:F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0.57421875" style="0" bestFit="1" customWidth="1"/>
    <col min="2" max="5" width="10.140625" style="0" bestFit="1" customWidth="1"/>
    <col min="7" max="7" width="12.7109375" style="0" bestFit="1" customWidth="1"/>
    <col min="9" max="9" width="12.7109375" style="0" bestFit="1" customWidth="1"/>
  </cols>
  <sheetData>
    <row r="1" spans="7:9" ht="12.75">
      <c r="G1" t="s">
        <v>64</v>
      </c>
      <c r="H1" s="33">
        <f>32025336-6900000</f>
        <v>25125336</v>
      </c>
      <c r="I1" s="33">
        <f>40487850-6900000</f>
        <v>33587850</v>
      </c>
    </row>
    <row r="2" spans="1:9" ht="12.75">
      <c r="A2" s="28" t="s">
        <v>56</v>
      </c>
      <c r="B2" s="30">
        <v>2004</v>
      </c>
      <c r="C2" s="30">
        <v>2005</v>
      </c>
      <c r="D2" s="30" t="s">
        <v>59</v>
      </c>
      <c r="G2" t="s">
        <v>65</v>
      </c>
      <c r="H2" s="33">
        <f>10255844-4404642</f>
        <v>5851202</v>
      </c>
      <c r="I2" s="33">
        <f>13035236-4404642</f>
        <v>8630594</v>
      </c>
    </row>
    <row r="3" spans="1:4" ht="12.75">
      <c r="A3" s="31" t="s">
        <v>57</v>
      </c>
      <c r="B3" s="29">
        <v>13637</v>
      </c>
      <c r="C3" s="29">
        <v>15279</v>
      </c>
      <c r="D3" s="33">
        <f>C3-B3</f>
        <v>1642</v>
      </c>
    </row>
    <row r="4" spans="1:4" ht="12.75">
      <c r="A4" s="32" t="s">
        <v>58</v>
      </c>
      <c r="B4" s="29">
        <v>113244</v>
      </c>
      <c r="C4" s="29">
        <v>134448</v>
      </c>
      <c r="D4" s="33">
        <f>C4-B4</f>
        <v>21204</v>
      </c>
    </row>
    <row r="5" spans="1:4" ht="12.75">
      <c r="A5" s="32"/>
      <c r="B5" s="37">
        <f>B3+B4</f>
        <v>126881</v>
      </c>
      <c r="C5" s="37">
        <f>C3+C4</f>
        <v>149727</v>
      </c>
      <c r="D5" s="36">
        <f>C5-B5</f>
        <v>22846</v>
      </c>
    </row>
    <row r="6" spans="1:4" ht="12.75">
      <c r="A6" s="28" t="s">
        <v>60</v>
      </c>
      <c r="B6" s="34"/>
      <c r="C6" s="34"/>
      <c r="D6" s="33"/>
    </row>
    <row r="7" spans="1:4" ht="12.75">
      <c r="A7" t="s">
        <v>61</v>
      </c>
      <c r="B7" s="33">
        <f>589390+7591</f>
        <v>596981</v>
      </c>
      <c r="C7" s="33">
        <f>884434</f>
        <v>884434</v>
      </c>
      <c r="D7" s="33">
        <f aca="true" t="shared" si="0" ref="D7:D16">C7-B7</f>
        <v>287453</v>
      </c>
    </row>
    <row r="8" spans="1:9" ht="12.75">
      <c r="A8" t="s">
        <v>62</v>
      </c>
      <c r="B8" s="33">
        <f>2770645+143590+3418618</f>
        <v>6332853</v>
      </c>
      <c r="C8" s="33">
        <f>13670114-2349719</f>
        <v>11320395</v>
      </c>
      <c r="D8" s="33">
        <f t="shared" si="0"/>
        <v>4987542</v>
      </c>
      <c r="G8" s="38"/>
      <c r="H8" s="39"/>
      <c r="I8" s="38"/>
    </row>
    <row r="9" spans="1:11" ht="12.75">
      <c r="A9" t="s">
        <v>63</v>
      </c>
      <c r="B9" s="33">
        <f>46245732-4924106</f>
        <v>41321626</v>
      </c>
      <c r="C9" s="33">
        <f>74340712-5908927</f>
        <v>68431785</v>
      </c>
      <c r="D9" s="33">
        <f t="shared" si="0"/>
        <v>27110159</v>
      </c>
      <c r="G9" s="39"/>
      <c r="H9" s="39"/>
      <c r="I9" s="38"/>
      <c r="J9" s="39"/>
      <c r="K9" s="38"/>
    </row>
    <row r="10" spans="1:9" ht="12.75">
      <c r="A10" t="s">
        <v>69</v>
      </c>
      <c r="B10" s="33">
        <f>115857+168883</f>
        <v>284740</v>
      </c>
      <c r="C10" s="33">
        <f>142577+276054</f>
        <v>418631</v>
      </c>
      <c r="D10" s="33">
        <f t="shared" si="0"/>
        <v>133891</v>
      </c>
      <c r="G10">
        <v>2005</v>
      </c>
      <c r="I10">
        <v>2004</v>
      </c>
    </row>
    <row r="11" spans="1:9" ht="12.75">
      <c r="A11" t="s">
        <v>70</v>
      </c>
      <c r="B11" s="33">
        <f>105396+421579</f>
        <v>526975</v>
      </c>
      <c r="C11" s="33">
        <f>146638+586546</f>
        <v>733184</v>
      </c>
      <c r="D11" s="33">
        <f>146638+586546</f>
        <v>733184</v>
      </c>
      <c r="G11" s="38">
        <v>2794364644</v>
      </c>
      <c r="H11" s="39"/>
      <c r="I11" s="38">
        <v>3172095876</v>
      </c>
    </row>
    <row r="12" spans="2:9" ht="12.75">
      <c r="B12" s="36">
        <f>SUM(B7:B10)</f>
        <v>48536200</v>
      </c>
      <c r="C12" s="36">
        <f>SUM(C7:C10)</f>
        <v>81055245</v>
      </c>
      <c r="D12" s="36">
        <f>SUM(D7:D10)</f>
        <v>32519045</v>
      </c>
      <c r="G12" s="38">
        <v>478688578</v>
      </c>
      <c r="H12" s="39"/>
      <c r="I12" s="38">
        <v>478688578</v>
      </c>
    </row>
    <row r="13" spans="1:9" ht="12.75">
      <c r="A13" s="28" t="s">
        <v>66</v>
      </c>
      <c r="B13" s="35"/>
      <c r="C13" s="35"/>
      <c r="D13" s="33"/>
      <c r="G13" s="23">
        <f>G12+G11</f>
        <v>3273053222</v>
      </c>
      <c r="H13" s="23">
        <f>H12+H11</f>
        <v>0</v>
      </c>
      <c r="I13" s="23">
        <f>I12+I11</f>
        <v>3650784454</v>
      </c>
    </row>
    <row r="14" spans="1:4" ht="12.75">
      <c r="A14" t="s">
        <v>67</v>
      </c>
      <c r="B14" s="35">
        <f>7699638-2104348</f>
        <v>5595290</v>
      </c>
      <c r="C14" s="35">
        <f>9487371-3775200</f>
        <v>5712171</v>
      </c>
      <c r="D14" s="33">
        <f t="shared" si="0"/>
        <v>116881</v>
      </c>
    </row>
    <row r="15" spans="1:4" ht="12.75">
      <c r="A15" t="s">
        <v>68</v>
      </c>
      <c r="B15" s="35">
        <v>4135163</v>
      </c>
      <c r="C15" s="35">
        <v>5280792</v>
      </c>
      <c r="D15" s="33">
        <f t="shared" si="0"/>
        <v>1145629</v>
      </c>
    </row>
    <row r="16" spans="1:4" ht="12.75">
      <c r="A16" t="s">
        <v>71</v>
      </c>
      <c r="B16" s="33">
        <v>3650784</v>
      </c>
      <c r="C16" s="33">
        <v>3273053</v>
      </c>
      <c r="D16" s="33">
        <f t="shared" si="0"/>
        <v>-377731</v>
      </c>
    </row>
    <row r="17" spans="2:5" ht="12.75">
      <c r="B17" s="36">
        <f>B14+B16+B15</f>
        <v>13381237</v>
      </c>
      <c r="C17" s="36">
        <f>C14+C16+C15</f>
        <v>14266016</v>
      </c>
      <c r="D17" s="36">
        <f>D14+D16+D15</f>
        <v>884779</v>
      </c>
      <c r="E17" s="23"/>
    </row>
    <row r="18" spans="2:4" ht="12.75">
      <c r="B18" s="23"/>
      <c r="C18" s="23"/>
      <c r="D18" s="23"/>
    </row>
    <row r="19" spans="2:4" ht="12.75">
      <c r="B19" s="23"/>
      <c r="C19" s="23"/>
      <c r="D19" s="23"/>
    </row>
    <row r="20" spans="2:4" ht="12.75">
      <c r="B20" s="23"/>
      <c r="C20" s="23"/>
      <c r="D20" s="23"/>
    </row>
    <row r="21" spans="2:4" ht="12.75">
      <c r="B21" s="23"/>
      <c r="C21" s="23"/>
      <c r="D21" s="23"/>
    </row>
    <row r="22" spans="2:4" ht="12.75">
      <c r="B22" s="23"/>
      <c r="C22" s="23"/>
      <c r="D22" s="23"/>
    </row>
    <row r="23" spans="2:4" ht="12.75">
      <c r="B23" s="23"/>
      <c r="C23" s="23"/>
      <c r="D23" s="23"/>
    </row>
    <row r="24" spans="2:4" ht="12.75">
      <c r="B24" s="23"/>
      <c r="C24" s="23"/>
      <c r="D24" s="23"/>
    </row>
    <row r="25" spans="2:4" ht="12.75">
      <c r="B25" s="23"/>
      <c r="C25" s="23"/>
      <c r="D25" s="2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naeem</dc:creator>
  <cp:keywords/>
  <dc:description/>
  <cp:lastModifiedBy>muhammad ali</cp:lastModifiedBy>
  <cp:lastPrinted>2009-11-13T07:39:04Z</cp:lastPrinted>
  <dcterms:created xsi:type="dcterms:W3CDTF">1996-10-14T23:33:28Z</dcterms:created>
  <dcterms:modified xsi:type="dcterms:W3CDTF">2010-10-21T08:00:58Z</dcterms:modified>
  <cp:category/>
  <cp:version/>
  <cp:contentType/>
  <cp:contentStatus/>
</cp:coreProperties>
</file>